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3C7FBFD6-7A55-43AA-AA25-FE8B8BD4E23D}" xr6:coauthVersionLast="47" xr6:coauthVersionMax="47" xr10:uidLastSave="{00000000-0000-0000-0000-000000000000}"/>
  <bookViews>
    <workbookView xWindow="28680" yWindow="-120" windowWidth="29040" windowHeight="15840" tabRatio="919" firstSheet="15"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18" l="1"/>
  <c r="K33" i="118"/>
  <c r="J33" i="118"/>
  <c r="I33" i="118"/>
  <c r="H33" i="118"/>
  <c r="G33" i="118"/>
  <c r="F33" i="118"/>
  <c r="E33" i="118"/>
  <c r="D33" i="118"/>
  <c r="C33" i="118"/>
  <c r="AA8" i="116"/>
  <c r="Z8" i="116"/>
  <c r="Y8" i="116"/>
  <c r="X8" i="116"/>
  <c r="W8" i="116"/>
  <c r="V8" i="116"/>
  <c r="U8" i="116"/>
  <c r="T8" i="116"/>
  <c r="S8" i="116"/>
  <c r="R8" i="116"/>
  <c r="Q8" i="116"/>
  <c r="P8" i="116"/>
  <c r="O8" i="116"/>
  <c r="N8" i="116"/>
  <c r="M8" i="116"/>
  <c r="L8" i="116"/>
  <c r="K8" i="116"/>
  <c r="J8" i="116"/>
  <c r="I8" i="116"/>
  <c r="H8" i="116"/>
  <c r="G8" i="116"/>
  <c r="F8" i="116"/>
  <c r="E8" i="116"/>
  <c r="D8" i="116"/>
  <c r="T22" i="116"/>
  <c r="L22" i="116"/>
  <c r="H22" i="116"/>
  <c r="D22" i="116"/>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D15" i="116"/>
  <c r="C22" i="116"/>
  <c r="C15" i="116"/>
  <c r="C8" i="116"/>
  <c r="H21" i="91"/>
  <c r="H20" i="91"/>
  <c r="H19" i="91"/>
  <c r="H18" i="91"/>
  <c r="H17" i="91"/>
  <c r="H16" i="91"/>
  <c r="H15" i="91"/>
  <c r="H14" i="91"/>
  <c r="H13" i="91"/>
  <c r="H12" i="91"/>
  <c r="H11" i="91"/>
  <c r="H10" i="91"/>
  <c r="H9" i="91"/>
  <c r="H8" i="91"/>
  <c r="G17" i="110" l="1"/>
  <c r="F17" i="110"/>
  <c r="G63" i="108" l="1"/>
  <c r="F63" i="108"/>
  <c r="G59" i="108"/>
  <c r="F59" i="108"/>
  <c r="C22" i="111" l="1"/>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s="1"/>
  <c r="C7" i="114"/>
  <c r="D7" i="114"/>
  <c r="C10" i="114"/>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H34" i="113" l="1"/>
  <c r="D15" i="114"/>
  <c r="C15" i="114"/>
  <c r="H21" i="112"/>
  <c r="H22" i="111"/>
  <c r="C62" i="69"/>
  <c r="C58" i="69"/>
  <c r="C67" i="69" s="1"/>
  <c r="C46" i="69"/>
  <c r="C40" i="69"/>
  <c r="C52" i="69" s="1"/>
  <c r="C29" i="69"/>
  <c r="C26" i="69"/>
  <c r="C23" i="69"/>
  <c r="C18" i="69"/>
  <c r="C14" i="69"/>
  <c r="C6" i="69"/>
  <c r="C35" i="69" s="1"/>
  <c r="E8" i="88"/>
  <c r="E37" i="88" s="1"/>
  <c r="E16" i="88"/>
  <c r="E20" i="88"/>
  <c r="E25" i="88"/>
  <c r="E28" i="88"/>
  <c r="E31" i="88"/>
  <c r="D8" i="88"/>
  <c r="D16" i="88"/>
  <c r="D20" i="88"/>
  <c r="D25" i="88"/>
  <c r="D28" i="88"/>
  <c r="D31" i="88"/>
  <c r="C31" i="88"/>
  <c r="C28" i="88"/>
  <c r="C25" i="88"/>
  <c r="C20" i="88"/>
  <c r="C16" i="88"/>
  <c r="C8" i="88"/>
  <c r="D37" i="88" l="1"/>
  <c r="C37" i="88"/>
  <c r="C68" i="69"/>
  <c r="H43" i="110"/>
  <c r="E43" i="110"/>
  <c r="H42" i="110"/>
  <c r="E42" i="110"/>
  <c r="H41" i="110"/>
  <c r="E41" i="110"/>
  <c r="H40" i="110"/>
  <c r="E40" i="110"/>
  <c r="H39" i="110"/>
  <c r="E39" i="110"/>
  <c r="G38" i="110"/>
  <c r="F38" i="110"/>
  <c r="D38" i="110"/>
  <c r="C38" i="110"/>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3" i="110"/>
  <c r="E13" i="110"/>
  <c r="H12" i="110"/>
  <c r="E12" i="110"/>
  <c r="G11" i="110"/>
  <c r="F11" i="110"/>
  <c r="D11" i="110"/>
  <c r="C11" i="110"/>
  <c r="E11" i="110" s="1"/>
  <c r="H10" i="110"/>
  <c r="E10" i="110"/>
  <c r="H9" i="110"/>
  <c r="E9" i="110"/>
  <c r="G8" i="110"/>
  <c r="H8" i="110" s="1"/>
  <c r="F8" i="110"/>
  <c r="D8" i="110"/>
  <c r="C8" i="110"/>
  <c r="H7" i="110"/>
  <c r="E7" i="110"/>
  <c r="H6" i="110"/>
  <c r="E6" i="110"/>
  <c r="H44" i="109"/>
  <c r="E44" i="109"/>
  <c r="H42" i="109"/>
  <c r="E42" i="109"/>
  <c r="H41" i="109"/>
  <c r="E41" i="109"/>
  <c r="H40" i="109"/>
  <c r="E40" i="109"/>
  <c r="H39" i="109"/>
  <c r="E39" i="109"/>
  <c r="H38" i="109"/>
  <c r="E38" i="109"/>
  <c r="G37" i="109"/>
  <c r="F37" i="109"/>
  <c r="D37" i="109"/>
  <c r="C37" i="109"/>
  <c r="H36" i="109"/>
  <c r="E36" i="109"/>
  <c r="H35" i="109"/>
  <c r="E35" i="109"/>
  <c r="G34" i="109"/>
  <c r="H34" i="109" s="1"/>
  <c r="F34" i="109"/>
  <c r="D34" i="109"/>
  <c r="C34" i="109"/>
  <c r="E34" i="109" s="1"/>
  <c r="H33" i="109"/>
  <c r="E33" i="109"/>
  <c r="H32" i="109"/>
  <c r="E32" i="109"/>
  <c r="H31" i="109"/>
  <c r="E31" i="109"/>
  <c r="H30" i="109"/>
  <c r="E30" i="109"/>
  <c r="G29" i="109"/>
  <c r="F29" i="109"/>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H13" i="109" s="1"/>
  <c r="D13" i="109"/>
  <c r="C13" i="109"/>
  <c r="H12" i="109"/>
  <c r="E12" i="109"/>
  <c r="H11" i="109"/>
  <c r="E11" i="109"/>
  <c r="H10" i="109"/>
  <c r="E10" i="109"/>
  <c r="H9" i="109"/>
  <c r="E9" i="109"/>
  <c r="H8" i="109"/>
  <c r="E8" i="109"/>
  <c r="H7" i="109"/>
  <c r="E7" i="109"/>
  <c r="G6" i="109"/>
  <c r="F6" i="109"/>
  <c r="F43" i="109" s="1"/>
  <c r="D6" i="109"/>
  <c r="C6" i="109"/>
  <c r="G68" i="108"/>
  <c r="F68" i="108"/>
  <c r="H67" i="108"/>
  <c r="E67" i="108"/>
  <c r="H66" i="108"/>
  <c r="E66" i="108"/>
  <c r="H65" i="108"/>
  <c r="E65" i="108"/>
  <c r="H64" i="108"/>
  <c r="E64" i="108"/>
  <c r="H63" i="108"/>
  <c r="D63" i="108"/>
  <c r="C63" i="108"/>
  <c r="E63" i="108" s="1"/>
  <c r="H62" i="108"/>
  <c r="E62" i="108"/>
  <c r="H61" i="108"/>
  <c r="E61" i="108"/>
  <c r="H60" i="108"/>
  <c r="E60" i="108"/>
  <c r="H59" i="108"/>
  <c r="D59" i="108"/>
  <c r="C59" i="108"/>
  <c r="H58" i="108"/>
  <c r="E58" i="108"/>
  <c r="H57" i="108"/>
  <c r="E57" i="108"/>
  <c r="H56" i="108"/>
  <c r="E56" i="108"/>
  <c r="H55" i="108"/>
  <c r="E55" i="108"/>
  <c r="H52" i="108"/>
  <c r="E52" i="108"/>
  <c r="H51" i="108"/>
  <c r="E51" i="108"/>
  <c r="H50" i="108"/>
  <c r="E50" i="108"/>
  <c r="H49" i="108"/>
  <c r="E49" i="108"/>
  <c r="H48" i="108"/>
  <c r="E48" i="108"/>
  <c r="G47" i="108"/>
  <c r="F47" i="108"/>
  <c r="D47" i="108"/>
  <c r="C47" i="108"/>
  <c r="E47" i="108" s="1"/>
  <c r="H46" i="108"/>
  <c r="E46" i="108"/>
  <c r="H45" i="108"/>
  <c r="E45" i="108"/>
  <c r="H44" i="108"/>
  <c r="E44" i="108"/>
  <c r="H43" i="108"/>
  <c r="E43" i="108"/>
  <c r="H42" i="108"/>
  <c r="E42" i="108"/>
  <c r="G41" i="108"/>
  <c r="F41" i="108"/>
  <c r="D41" i="108"/>
  <c r="C41" i="108"/>
  <c r="H40" i="108"/>
  <c r="E40" i="108"/>
  <c r="H39" i="108"/>
  <c r="E39" i="108"/>
  <c r="H38" i="108"/>
  <c r="E38" i="108"/>
  <c r="H35" i="108"/>
  <c r="E35" i="108"/>
  <c r="H34" i="108"/>
  <c r="E34" i="108"/>
  <c r="H33" i="108"/>
  <c r="E33" i="108"/>
  <c r="H32" i="108"/>
  <c r="E32" i="108"/>
  <c r="H31" i="108"/>
  <c r="E31" i="108"/>
  <c r="G30" i="108"/>
  <c r="F30" i="108"/>
  <c r="H30" i="108" s="1"/>
  <c r="D30" i="108"/>
  <c r="C30" i="108"/>
  <c r="E30" i="108" s="1"/>
  <c r="H29" i="108"/>
  <c r="E29" i="108"/>
  <c r="H28" i="108"/>
  <c r="E28" i="108"/>
  <c r="G27" i="108"/>
  <c r="F27" i="108"/>
  <c r="D27" i="108"/>
  <c r="C27" i="108"/>
  <c r="H26" i="108"/>
  <c r="E26" i="108"/>
  <c r="H25" i="108"/>
  <c r="E25" i="108"/>
  <c r="G24" i="108"/>
  <c r="F24" i="108"/>
  <c r="D24" i="108"/>
  <c r="C24" i="108"/>
  <c r="H23" i="108"/>
  <c r="E23" i="108"/>
  <c r="H22" i="108"/>
  <c r="E22" i="108"/>
  <c r="H21" i="108"/>
  <c r="E21" i="108"/>
  <c r="H20" i="108"/>
  <c r="E20" i="108"/>
  <c r="G19" i="108"/>
  <c r="F19" i="108"/>
  <c r="H19" i="108" s="1"/>
  <c r="D19" i="108"/>
  <c r="C19" i="108"/>
  <c r="H18" i="108"/>
  <c r="E18" i="108"/>
  <c r="H17" i="108"/>
  <c r="E17" i="108"/>
  <c r="H16" i="108"/>
  <c r="E16" i="108"/>
  <c r="G15" i="108"/>
  <c r="F15" i="108"/>
  <c r="H15" i="108" s="1"/>
  <c r="D15" i="108"/>
  <c r="C15" i="108"/>
  <c r="E15" i="108" s="1"/>
  <c r="H14" i="108"/>
  <c r="E14" i="108"/>
  <c r="H13" i="108"/>
  <c r="E13" i="108"/>
  <c r="H12" i="108"/>
  <c r="E12" i="108"/>
  <c r="H11" i="108"/>
  <c r="E11" i="108"/>
  <c r="H10" i="108"/>
  <c r="E10" i="108"/>
  <c r="H9" i="108"/>
  <c r="E9" i="108"/>
  <c r="H8" i="108"/>
  <c r="E8" i="108"/>
  <c r="G7" i="108"/>
  <c r="F7" i="108"/>
  <c r="D7" i="108"/>
  <c r="C7" i="108"/>
  <c r="E13" i="109" l="1"/>
  <c r="G43" i="109"/>
  <c r="G45" i="109" s="1"/>
  <c r="E19" i="108"/>
  <c r="E37" i="109"/>
  <c r="H41" i="108"/>
  <c r="H37" i="109"/>
  <c r="G36" i="108"/>
  <c r="E38" i="110"/>
  <c r="H30" i="110"/>
  <c r="E30" i="110"/>
  <c r="H14" i="110"/>
  <c r="E8" i="110"/>
  <c r="H27" i="108"/>
  <c r="E27" i="108"/>
  <c r="E7" i="108"/>
  <c r="H24" i="108"/>
  <c r="E6" i="109"/>
  <c r="E29" i="109"/>
  <c r="E14" i="110"/>
  <c r="H38" i="110"/>
  <c r="C53" i="108"/>
  <c r="H47" i="108"/>
  <c r="H29" i="109"/>
  <c r="D53" i="108"/>
  <c r="C43" i="109"/>
  <c r="C45" i="109" s="1"/>
  <c r="D36" i="108"/>
  <c r="F36" i="108"/>
  <c r="H36" i="108" s="1"/>
  <c r="G53" i="108"/>
  <c r="G69" i="108" s="1"/>
  <c r="H11" i="110"/>
  <c r="C68" i="108"/>
  <c r="D68" i="108"/>
  <c r="E59" i="108"/>
  <c r="C36" i="108"/>
  <c r="H7" i="108"/>
  <c r="E24" i="108"/>
  <c r="E17" i="110"/>
  <c r="F45" i="109"/>
  <c r="H6" i="109"/>
  <c r="D43" i="109"/>
  <c r="D45" i="109" s="1"/>
  <c r="H68" i="108"/>
  <c r="E41" i="108"/>
  <c r="F53" i="108"/>
  <c r="F69" i="108" s="1"/>
  <c r="H69" i="108" s="1"/>
  <c r="H45" i="109" l="1"/>
  <c r="H43" i="109"/>
  <c r="E53" i="108"/>
  <c r="D69" i="108"/>
  <c r="E68" i="108"/>
  <c r="E36" i="108"/>
  <c r="C69" i="108"/>
  <c r="H53" i="108"/>
  <c r="E43" i="109"/>
  <c r="E45" i="109"/>
  <c r="E69" i="108" l="1"/>
  <c r="B1" i="97"/>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8" i="95"/>
  <c r="C36" i="95" l="1"/>
  <c r="C38" i="95" s="1"/>
  <c r="D6" i="86"/>
  <c r="D13" i="86"/>
  <c r="C6" i="86" l="1"/>
  <c r="C13" i="86" s="1"/>
  <c r="D19" i="94" l="1"/>
  <c r="D9" i="94"/>
  <c r="D13" i="94"/>
  <c r="D16" i="94"/>
  <c r="D17" i="94"/>
  <c r="D21" i="94"/>
  <c r="D8" i="94"/>
  <c r="D12" i="94"/>
  <c r="D15" i="94"/>
  <c r="D20" i="94"/>
  <c r="D11" i="94"/>
  <c r="D7" i="94"/>
  <c r="N20" i="92"/>
  <c r="N19" i="92"/>
  <c r="E19" i="92"/>
  <c r="E14" i="92" s="1"/>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L21" i="92" s="1"/>
  <c r="K7" i="92"/>
  <c r="K21" i="92" s="1"/>
  <c r="J7" i="92"/>
  <c r="J21" i="92" s="1"/>
  <c r="I7" i="92"/>
  <c r="H7" i="92"/>
  <c r="G7" i="92"/>
  <c r="F7" i="92"/>
  <c r="C7" i="92"/>
  <c r="F21" i="92" l="1"/>
  <c r="G21" i="92"/>
  <c r="E7" i="92"/>
  <c r="H21" i="92"/>
  <c r="M21" i="92"/>
  <c r="N7" i="92"/>
  <c r="E21" i="92"/>
  <c r="N14" i="92"/>
  <c r="N21" i="92" s="1"/>
  <c r="I21" i="92"/>
  <c r="C21" i="92"/>
  <c r="S21" i="90"/>
  <c r="S20" i="90"/>
  <c r="S19" i="90"/>
  <c r="S18" i="90"/>
  <c r="S17" i="90"/>
  <c r="S16" i="90"/>
  <c r="S15" i="90"/>
  <c r="S14" i="90"/>
  <c r="S13" i="90"/>
  <c r="S12" i="90"/>
  <c r="S11" i="90"/>
  <c r="S10" i="90"/>
  <c r="S9" i="90"/>
  <c r="S8" i="90"/>
  <c r="T21" i="64" l="1"/>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4" i="89"/>
  <c r="C48"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<sst xmlns="http://schemas.openxmlformats.org/spreadsheetml/2006/main" count="1197" uniqueCount="743">
  <si>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</si>
  <si>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</si>
  <si>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</si>
  <si>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</si>
  <si>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</si>
  <si>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</si>
  <si>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</si>
  <si>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</si>
  <si>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</si>
  <si>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</si>
  <si>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</si>
  <si>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</si>
  <si>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</si>
  <si>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</si>
  <si>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</si>
  <si>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</si>
  <si>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</si>
  <si>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</si>
  <si>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</si>
  <si>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</si>
  <si>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</si>
  <si>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</si>
  <si>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</si>
  <si>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</si>
  <si>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</si>
  <si>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</si>
  <si>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</si>
  <si>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</si>
  <si>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</si>
  <si>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</si>
  <si>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</si>
  <si>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</si>
  <si>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</si>
  <si>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</si>
  <si>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</si>
  <si>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</si>
  <si>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</si>
  <si>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</si>
  <si>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</si>
  <si>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</si>
  <si>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</si>
  <si>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</si>
  <si>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</si>
  <si>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</si>
  <si>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</si>
  <si>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</si>
  <si>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</si>
  <si>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</si>
  <si>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</si>
  <si>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</si>
  <si>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</si>
  <si>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</si>
  <si>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</si>
  <si>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</si>
  <si>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</si>
  <si>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</si>
  <si>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</si>
  <si>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</si>
  <si>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</si>
  <si>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</si>
  <si>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</si>
  <si>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</si>
  <si>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</si>
  <si>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</si>
  <si>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</si>
  <si>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</si>
  <si>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</si>
  <si>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</si>
  <si>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</si>
  <si>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</si>
  <si>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</si>
  <si>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</si>
  <si>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</si>
  <si>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</si>
  <si>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</si>
  <si>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</si>
  <si>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</si>
  <si>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</si>
  <si>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</si>
  <si>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</si>
  <si>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</si>
  <si>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</si>
  <si>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</si>
  <si>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</si>
  <si>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</si>
  <si>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</si>
  <si>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</si>
  <si>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</si>
  <si>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</si>
  <si>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</si>
  <si>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</si>
  <si>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</si>
  <si>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</si>
  <si>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</si>
  <si>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</si>
  <si>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</si>
  <si>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</si>
  <si>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</si>
  <si>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</si>
  <si>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</si>
  <si>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</si>
  <si>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</si>
  <si>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</si>
  <si>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</si>
  <si>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</si>
  <si>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</si>
  <si>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</si>
  <si>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</si>
  <si>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</si>
  <si>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</si>
  <si>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</si>
  <si>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</si>
  <si>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</si>
  <si>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</si>
  <si>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</si>
  <si>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</si>
  <si>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</si>
  <si>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</si>
  <si>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</si>
  <si>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</si>
  <si>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</si>
  <si>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</si>
  <si>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</si>
  <si>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</si>
  <si>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</si>
  <si>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</si>
  <si>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</si>
  <si>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</si>
  <si>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</si>
  <si>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</si>
  <si>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</si>
  <si>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</si>
  <si>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</si>
  <si>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</si>
  <si>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</si>
  <si>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</si>
  <si>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</si>
  <si>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</si>
  <si>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</si>
  <si>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</si>
  <si>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</si>
  <si>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</si>
  <si>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</si>
  <si>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</si>
  <si>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</si>
  <si>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</si>
  <si>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</si>
  <si>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</si>
  <si>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</si>
  <si>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</si>
  <si>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</si>
  <si>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</si>
  <si>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</si>
  <si>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</si>
  <si>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</si>
  <si>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</si>
  <si>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</si>
  <si>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</si>
  <si>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</si>
  <si>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</si>
  <si>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</si>
  <si>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</si>
  <si>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</si>
  <si>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</si>
  <si>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</si>
  <si>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</si>
  <si>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</si>
  <si>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</si>
  <si>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</si>
  <si>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</si>
  <si>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</si>
  <si>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</si>
  <si>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</si>
  <si>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</si>
  <si>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</si>
  <si>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</si>
  <si>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</si>
  <si>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</si>
  <si>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</si>
  <si>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</si>
  <si>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</si>
  <si>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</si>
  <si>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</si>
  <si>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</si>
  <si>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</si>
  <si>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</si>
  <si>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</si>
  <si>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</si>
  <si>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</si>
  <si>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</si>
  <si>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</si>
  <si>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</si>
  <si>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</si>
  <si>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</si>
  <si>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</si>
  <si>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</si>
  <si>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</si>
  <si>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</si>
  <si>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</si>
  <si>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</si>
  <si>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</si>
  <si>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</si>
  <si>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</si>
  <si>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</si>
  <si>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</si>
  <si>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</si>
  <si>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</si>
  <si>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</si>
  <si>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</si>
  <si>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</si>
  <si>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</si>
  <si>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</si>
  <si>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</si>
  <si>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</si>
  <si>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</si>
  <si>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</si>
  <si>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</si>
  <si>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</si>
  <si>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</si>
  <si>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</si>
  <si>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</si>
  <si>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</si>
  <si>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</si>
  <si>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</si>
  <si>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</si>
  <si>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</si>
  <si>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</si>
  <si>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</si>
  <si>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</si>
  <si>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</si>
  <si>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</si>
  <si>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</si>
  <si>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</si>
  <si>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</si>
  <si>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</si>
  <si>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</si>
  <si>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</si>
  <si>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</si>
  <si>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</si>
  <si>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</si>
  <si>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</si>
  <si>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</si>
  <si>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</si>
  <si>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</si>
  <si>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</si>
  <si>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</si>
  <si>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</si>
  <si>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</si>
  <si>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</si>
  <si>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</si>
  <si>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</si>
  <si>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</si>
  <si>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</si>
  <si>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</si>
  <si>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</si>
  <si>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</si>
  <si>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</si>
  <si>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</si>
  <si>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</si>
  <si>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</si>
  <si>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</si>
  <si>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</si>
  <si>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</si>
  <si>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</si>
  <si>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</si>
  <si>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</si>
  <si>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</si>
  <si>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</si>
  <si>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</si>
  <si>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</si>
  <si>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</si>
  <si>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</si>
  <si>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</si>
  <si>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</si>
  <si>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</si>
  <si>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</si>
  <si>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</si>
  <si>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</si>
  <si>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</si>
  <si>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</si>
  <si>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</si>
  <si>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</si>
  <si>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</si>
  <si>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</si>
  <si>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</si>
  <si>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</si>
  <si>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</si>
  <si>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</si>
  <si>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</si>
  <si>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</si>
  <si>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</si>
  <si>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</si>
  <si>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</si>
  <si>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</si>
  <si>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</si>
  <si>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</si>
  <si>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</si>
  <si>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</si>
  <si>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</si>
  <si>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</si>
  <si>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</si>
  <si>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</si>
  <si>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</si>
  <si>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</si>
  <si>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</si>
  <si>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</si>
  <si>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</si>
  <si>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</si>
  <si>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</si>
  <si>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</si>
  <si>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</si>
  <si>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</si>
  <si>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</si>
  <si>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</si>
  <si>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</si>
  <si>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</si>
  <si>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</si>
  <si>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</si>
  <si>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</si>
  <si>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</si>
  <si>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</si>
  <si>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</si>
  <si>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</si>
  <si>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</si>
  <si>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</si>
  <si>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</si>
  <si>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</si>
  <si>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</si>
  <si>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</si>
  <si>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</si>
  <si>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</si>
  <si>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</si>
  <si>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</si>
  <si>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</si>
  <si>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</si>
  <si>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</si>
  <si>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</si>
  <si>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</si>
  <si>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</si>
  <si>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</si>
  <si>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</si>
  <si>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</si>
  <si>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</si>
  <si>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</si>
  <si>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</si>
  <si>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</si>
  <si>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</si>
  <si>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</si>
  <si>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</si>
  <si>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</si>
  <si>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</si>
  <si>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</si>
  <si>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</si>
  <si>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</si>
  <si>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</si>
  <si>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</si>
  <si>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</si>
  <si>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</si>
  <si>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</si>
  <si>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</si>
  <si>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</si>
  <si>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</si>
  <si>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</si>
  <si>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</si>
  <si>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</si>
  <si>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</si>
  <si>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</si>
  <si>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</si>
  <si>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</si>
  <si>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</si>
  <si>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</si>
  <si>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</si>
  <si>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</si>
  <si>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</si>
  <si>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</si>
  <si>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</si>
  <si>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</si>
  <si>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</si>
  <si>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</si>
  <si>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</si>
  <si>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</si>
  <si>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</si>
  <si>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</si>
  <si>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</si>
  <si>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</si>
  <si>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</si>
  <si>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</si>
  <si>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</si>
  <si>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</si>
  <si>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</si>
  <si>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</si>
  <si>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</si>
  <si>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</si>
  <si>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</si>
  <si>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</si>
  <si>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</si>
  <si>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</si>
  <si>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</si>
  <si>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</si>
  <si>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</si>
  <si>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</si>
  <si>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</si>
  <si>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</si>
  <si>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</si>
  <si>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</si>
  <si>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</si>
  <si>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</si>
  <si>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</si>
  <si>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</si>
  <si>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</si>
  <si>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</si>
  <si>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</si>
  <si>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</si>
  <si>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</si>
  <si>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</si>
  <si>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</si>
  <si>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</si>
  <si>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</si>
  <si>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</si>
  <si>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</si>
  <si>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</si>
  <si>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</si>
  <si>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</si>
  <si>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</si>
  <si>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</si>
  <si>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</si>
  <si>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</si>
  <si>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</si>
  <si>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</si>
  <si>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</si>
  <si>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</si>
  <si>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</si>
  <si>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</si>
  <si>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</si>
  <si>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</si>
  <si>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</si>
  <si>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</si>
  <si>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</si>
  <si>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</si>
  <si>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</si>
  <si>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</si>
  <si>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</si>
  <si>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</si>
  <si>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</si>
  <si>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</si>
  <si>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</si>
  <si>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</si>
  <si>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</si>
  <si>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</si>
  <si>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</si>
  <si>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</si>
  <si>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</si>
  <si>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</si>
  <si>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</si>
  <si>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</si>
  <si>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</si>
  <si>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</si>
  <si>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</si>
  <si>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</si>
  <si>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</si>
  <si>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</si>
  <si>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</si>
  <si>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</si>
  <si>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</si>
  <si>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</si>
  <si>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</si>
  <si>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</si>
  <si>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</si>
  <si>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</si>
  <si>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</si>
  <si>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</si>
  <si>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</si>
  <si>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</si>
  <si>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</si>
  <si>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</si>
  <si>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</si>
  <si>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</si>
  <si>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</si>
  <si>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</si>
  <si>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</si>
  <si>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</si>
  <si>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</si>
  <si>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</si>
  <si>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</si>
  <si>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</si>
  <si>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</si>
  <si>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</si>
  <si>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</si>
  <si>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</si>
  <si>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</si>
  <si>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</si>
  <si>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</si>
  <si>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</si>
  <si>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</si>
  <si>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</si>
  <si>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</si>
  <si>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</si>
  <si>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</si>
  <si>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</si>
  <si>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</si>
  <si>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</si>
  <si>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</si>
  <si>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</si>
  <si>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</si>
  <si>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</si>
  <si>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</si>
  <si>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</si>
  <si>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</si>
  <si>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</si>
  <si>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</si>
  <si>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</si>
  <si>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</si>
  <si>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</si>
  <si>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</si>
  <si>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</si>
  <si>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</si>
  <si>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</si>
  <si>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</si>
  <si>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</si>
  <si>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</si>
  <si>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</si>
  <si>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</si>
  <si>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</si>
  <si>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</si>
  <si>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</si>
  <si>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</si>
  <si>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</si>
  <si>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</si>
  <si>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</si>
  <si>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</si>
  <si>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</si>
  <si>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</si>
  <si>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</si>
  <si>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</si>
  <si>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</si>
  <si>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</si>
  <si>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</si>
  <si>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</si>
  <si>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</si>
  <si>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</si>
  <si>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</si>
  <si>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</si>
  <si>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</si>
  <si>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</si>
  <si>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</si>
  <si>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</si>
  <si>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</si>
  <si>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</si>
  <si>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</si>
  <si>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</si>
  <si>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</si>
  <si>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</si>
  <si>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</si>
  <si>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</si>
  <si>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</si>
  <si>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</si>
  <si>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</si>
  <si>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</si>
  <si>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</si>
  <si>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</si>
  <si>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</si>
  <si>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</si>
  <si>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</si>
  <si>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</si>
  <si>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</si>
  <si>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</si>
  <si>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</si>
  <si>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</si>
  <si>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</si>
  <si>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</si>
  <si>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</si>
  <si>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</si>
  <si>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</si>
  <si>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</si>
  <si>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</si>
  <si>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</si>
  <si>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</si>
  <si>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</si>
  <si>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</si>
  <si>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</si>
  <si>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</si>
  <si>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</si>
  <si>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</si>
  <si>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</si>
  <si>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</si>
  <si>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</si>
  <si>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</si>
  <si>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</si>
  <si>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</si>
  <si>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</si>
  <si>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</si>
  <si>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</si>
  <si>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</si>
  <si>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</si>
  <si>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</si>
  <si>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</si>
  <si>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</si>
  <si>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</si>
  <si>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</si>
  <si>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</si>
  <si>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</si>
  <si>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</si>
  <si>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</si>
  <si>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</si>
  <si>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</si>
  <si>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</si>
  <si>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</si>
  <si>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</si>
  <si>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</si>
  <si>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</si>
  <si>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</si>
  <si>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</si>
  <si>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</si>
  <si>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</si>
  <si>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</si>
  <si>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</si>
  <si>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</si>
  <si>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</si>
  <si>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</si>
  <si>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</si>
  <si>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</si>
  <si>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</si>
  <si>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</si>
  <si>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</si>
  <si>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</si>
  <si>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</si>
  <si>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</si>
  <si>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</si>
  <si>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</si>
  <si>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</si>
  <si>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</si>
  <si>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</si>
  <si>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</si>
  <si>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</si>
  <si>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</si>
  <si>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</si>
  <si>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</si>
  <si>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</si>
  <si>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</si>
  <si>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</si>
  <si>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</si>
  <si>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</si>
  <si>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</si>
  <si>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</si>
  <si>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</si>
  <si>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</si>
  <si>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</si>
  <si>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</si>
  <si>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</si>
  <si>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</si>
  <si>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</si>
  <si>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</si>
  <si>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</si>
  <si>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</si>
  <si>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</si>
  <si>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</si>
  <si>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</si>
  <si>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</si>
  <si>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</si>
  <si>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</si>
  <si>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</si>
  <si>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</si>
  <si>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</si>
  <si>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</si>
  <si>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</si>
  <si>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</si>
  <si>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</si>
  <si>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</si>
  <si>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</si>
  <si>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</si>
  <si>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</si>
  <si>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</si>
  <si>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</si>
  <si>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</si>
  <si>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</si>
  <si>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</si>
  <si>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</si>
  <si>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</si>
  <si>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</si>
  <si>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</si>
  <si>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</si>
  <si>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</si>
  <si>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</si>
  <si>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</si>
  <si>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</si>
  <si>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</si>
  <si>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</si>
  <si>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</si>
  <si>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</si>
  <si>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</si>
  <si>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</si>
  <si>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</si>
  <si>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</si>
  <si>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</si>
  <si>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</si>
  <si>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</si>
  <si>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</si>
  <si>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</si>
  <si>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</si>
  <si>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</si>
  <si>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</si>
  <si>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</si>
  <si>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</si>
  <si>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</si>
  <si>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</si>
  <si>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</si>
  <si>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</si>
  <si>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</si>
  <si>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</si>
  <si>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</si>
  <si>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</si>
  <si>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</si>
  <si>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</si>
  <si>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Cartu Bank</t>
  </si>
  <si>
    <t>Nato Khaindrava</t>
  </si>
  <si>
    <t>Grigol Katsia</t>
  </si>
  <si>
    <t>www.cartubank.ge</t>
  </si>
  <si>
    <t>Non-independent chair</t>
  </si>
  <si>
    <t>Besik Demetrashvili</t>
  </si>
  <si>
    <t>Non-independent member</t>
  </si>
  <si>
    <t>Zaza Verdzeuli</t>
  </si>
  <si>
    <t>Independent member</t>
  </si>
  <si>
    <t>Tea Jokhadze</t>
  </si>
  <si>
    <t>General Director</t>
  </si>
  <si>
    <t>Givi Lebanidze</t>
  </si>
  <si>
    <t>Deputy General Director - Financial Director</t>
  </si>
  <si>
    <t>Beka Kvaratskhelia</t>
  </si>
  <si>
    <t>Deputy General Director - Risk Director</t>
  </si>
  <si>
    <t xml:space="preserve">Zurab Gogua </t>
  </si>
  <si>
    <t>Deputy General Director - Commercial Director</t>
  </si>
  <si>
    <t>Deputy General Director - Operations Director</t>
  </si>
  <si>
    <t>Giorgi Sulamanidze</t>
  </si>
  <si>
    <t>Vakhtang Machavariani</t>
  </si>
  <si>
    <t>Deputy General Director - Administrative Director</t>
  </si>
  <si>
    <t>Giorgi Korsantia</t>
  </si>
  <si>
    <t>Deputy General Director - Information Technology Director</t>
  </si>
  <si>
    <t xml:space="preserve">N(N)LP INTERNATIONAL CHARITY FUND "CARTU"                                                           </t>
  </si>
  <si>
    <t xml:space="preserve">Uta Ivanishvili </t>
  </si>
  <si>
    <t>Table 9 (Capital), N28 &amp; N38</t>
  </si>
  <si>
    <t>Table 9 (Capital), N2</t>
  </si>
  <si>
    <t>Table 9 (Capital), N27</t>
  </si>
  <si>
    <t>Table 9 (Capital), N8</t>
  </si>
  <si>
    <t>Table 9 (Capital), N5 &amp;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</si>
</sst>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9"/>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6" tint="-0.499984740745262"/>
      </left>
      <right style="medium">
        <color indexed="64"/>
      </right>
      <top style="thin">
        <color theme="6" tint="-0.499984740745262"/>
      </top>
      <bottom style="medium">
        <color indexed="64"/>
      </bottom>
      <diagonal/>
    </border>
  </borders>
  <cellStyleXfs count="2141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9"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2" fillId="69" borderId="127" applyNumberFormat="0" applyFont="0" applyBorder="0" applyProtection="0">
      <alignment horizontal="center" vertical="center"/>
    </xf>
    <xf numFmtId="0" fontId="37" fillId="0" borderId="129">
      <alignment horizontal="left" vertical="center"/>
    </xf>
    <xf numFmtId="0" fontId="37" fillId="0" borderId="129">
      <alignment horizontal="left" vertical="center"/>
    </xf>
    <xf numFmtId="168" fontId="37" fillId="0" borderId="129">
      <alignment horizontal="left" vertical="center"/>
    </xf>
    <xf numFmtId="0" fontId="45" fillId="70" borderId="128" applyFont="0" applyBorder="0">
      <alignment horizontal="center" wrapText="1"/>
    </xf>
    <xf numFmtId="3" fontId="2" fillId="71" borderId="127" applyFont="0" applyProtection="0">
      <alignment horizontal="right" vertical="center"/>
    </xf>
    <xf numFmtId="9" fontId="2" fillId="71" borderId="127" applyFont="0" applyProtection="0">
      <alignment horizontal="right" vertical="center"/>
    </xf>
    <xf numFmtId="0" fontId="2" fillId="71" borderId="128" applyNumberFormat="0" applyFont="0" applyBorder="0" applyProtection="0">
      <alignment horizontal="left" vertical="center"/>
    </xf>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9"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0" fontId="49" fillId="43" borderId="137" applyNumberFormat="0" applyAlignment="0" applyProtection="0"/>
    <xf numFmtId="3" fontId="2" fillId="72" borderId="127" applyFont="0">
      <alignment horizontal="right" vertical="center"/>
      <protection locked="0"/>
    </xf>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3" fontId="2" fillId="75" borderId="127" applyFont="0">
      <alignment horizontal="right" vertical="center"/>
      <protection locked="0"/>
    </xf>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9"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0" fontId="66" fillId="64" borderId="139" applyNumberFormat="0" applyAlignment="0" applyProtection="0"/>
    <xf numFmtId="3" fontId="2" fillId="70" borderId="127" applyFont="0">
      <alignment horizontal="right" vertical="center"/>
    </xf>
    <xf numFmtId="188" fontId="2" fillId="70" borderId="127" applyFont="0">
      <alignment horizontal="right" vertical="center"/>
    </xf>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9"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xf numFmtId="0" fontId="2" fillId="0" borderId="0"/>
  </cellStyleXfs>
  <cellXfs count="803">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9"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67" fontId="84" fillId="0" borderId="62" xfId="0" applyNumberFormat="1" applyFont="1" applyBorder="1" applyAlignment="1">
      <alignment horizontal="center"/>
    </xf>
    <xf numFmtId="0" fontId="84" fillId="0" borderId="18" xfId="0" applyFont="1" applyBorder="1" applyAlignment="1">
      <alignment vertical="center"/>
    </xf>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0" fontId="45" fillId="3" borderId="23" xfId="16" applyFont="1" applyFill="1" applyBorder="1" applyProtection="1">
      <protection locked="0"/>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80"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7" xfId="0" applyFont="1" applyBorder="1" applyAlignment="1">
      <alignment horizontal="center" vertical="center"/>
    </xf>
    <xf numFmtId="0" fontId="3" fillId="0" borderId="88" xfId="0" applyFont="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100" xfId="20964" applyFont="1" applyFill="1" applyBorder="1">
      <alignment vertical="center"/>
    </xf>
    <xf numFmtId="0" fontId="45" fillId="76" borderId="101" xfId="20964" applyFont="1" applyFill="1" applyBorder="1">
      <alignment vertical="center"/>
    </xf>
    <xf numFmtId="0" fontId="45" fillId="76" borderId="98" xfId="20964" applyFont="1" applyFill="1" applyBorder="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Border="1" applyAlignment="1">
      <alignment horizontal="center" vertical="center"/>
    </xf>
    <xf numFmtId="0" fontId="106" fillId="0" borderId="98" xfId="20964" applyFont="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lignment vertical="center"/>
    </xf>
    <xf numFmtId="0" fontId="105" fillId="76" borderId="101" xfId="20964" applyFont="1" applyFill="1" applyBorder="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Border="1" applyAlignment="1">
      <alignment horizontal="left" vertical="center" wrapText="1"/>
    </xf>
    <xf numFmtId="10" fontId="97"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6"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0" fontId="100" fillId="0" borderId="99" xfId="0" applyFont="1" applyBorder="1" applyAlignment="1">
      <alignment horizontal="left" wrapText="1" indent="2"/>
    </xf>
    <xf numFmtId="164" fontId="3" fillId="0" borderId="99" xfId="7" applyNumberFormat="1" applyFont="1" applyBorder="1" applyAlignment="1">
      <alignment vertical="center"/>
    </xf>
    <xf numFmtId="0" fontId="4" fillId="0" borderId="18" xfId="0" applyFont="1" applyBorder="1"/>
    <xf numFmtId="0" fontId="4" fillId="0" borderId="99" xfId="0" applyFont="1" applyBorder="1" applyAlignment="1">
      <alignment wrapText="1"/>
    </xf>
    <xf numFmtId="0" fontId="112" fillId="3" borderId="63" xfId="0" applyFont="1" applyFill="1" applyBorder="1" applyAlignment="1">
      <alignment horizontal="left"/>
    </xf>
    <xf numFmtId="0" fontId="112" fillId="3" borderId="0" xfId="0" applyFont="1" applyFill="1" applyAlignment="1">
      <alignment horizontal="center"/>
    </xf>
    <xf numFmtId="164" fontId="3" fillId="0" borderId="99" xfId="7" applyNumberFormat="1" applyFont="1" applyFill="1" applyBorder="1" applyAlignment="1">
      <alignment vertical="center"/>
    </xf>
    <xf numFmtId="0" fontId="100" fillId="0" borderId="99" xfId="0" applyFont="1" applyBorder="1" applyAlignment="1">
      <alignment horizontal="left" wrapText="1" indent="4"/>
    </xf>
    <xf numFmtId="0" fontId="3" fillId="3" borderId="0" xfId="0" applyFont="1" applyFill="1" applyAlignment="1">
      <alignment wrapText="1"/>
    </xf>
    <xf numFmtId="0" fontId="4" fillId="0" borderId="21" xfId="0" applyFont="1" applyBorder="1"/>
    <xf numFmtId="0" fontId="4" fillId="0" borderId="22" xfId="0" applyFont="1" applyBorder="1" applyAlignment="1">
      <alignment wrapText="1"/>
    </xf>
    <xf numFmtId="0" fontId="2" fillId="2" borderId="87" xfId="0" applyFont="1" applyFill="1" applyBorder="1" applyAlignment="1">
      <alignment horizontal="right" vertical="center"/>
    </xf>
    <xf numFmtId="0" fontId="2" fillId="0" borderId="97" xfId="0" applyFont="1" applyBorder="1" applyAlignment="1">
      <alignment vertical="center" wrapText="1"/>
    </xf>
    <xf numFmtId="193" fontId="2" fillId="2" borderId="97"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193" fontId="87" fillId="2" borderId="91"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4" xfId="17" applyBorder="1" applyAlignment="1" applyProtection="1"/>
    <xf numFmtId="0" fontId="114" fillId="0" borderId="0" xfId="0" applyFont="1" applyAlignment="1">
      <alignment horizontal="left" vertical="top"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126" fillId="0" borderId="114" xfId="20966" applyFont="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Border="1" applyAlignment="1">
      <alignment horizontal="left" vertical="center" wrapText="1"/>
    </xf>
    <xf numFmtId="0" fontId="127" fillId="0" borderId="124" xfId="0" applyFont="1" applyBorder="1" applyAlignment="1">
      <alignment horizontal="left" vertical="center" wrapText="1"/>
    </xf>
    <xf numFmtId="0" fontId="127" fillId="0" borderId="124" xfId="0" applyFont="1" applyBorder="1" applyAlignment="1">
      <alignment vertical="center" wrapText="1"/>
    </xf>
    <xf numFmtId="0" fontId="128" fillId="0" borderId="124" xfId="0" applyFont="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Border="1" applyAlignment="1">
      <alignment horizontal="left" vertical="center" wrapText="1" indent="1"/>
    </xf>
    <xf numFmtId="0" fontId="127" fillId="0" borderId="114" xfId="0" applyFont="1" applyBorder="1" applyAlignment="1">
      <alignment horizontal="left" vertical="center" wrapText="1"/>
    </xf>
    <xf numFmtId="0" fontId="129" fillId="0" borderId="114" xfId="20966" applyFont="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Border="1" applyAlignment="1">
      <alignment horizontal="left" vertical="center" wrapText="1" inden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Border="1" applyAlignment="1">
      <alignment horizontal="left" vertical="center" wrapText="1"/>
    </xf>
    <xf numFmtId="0" fontId="127" fillId="0" borderId="127" xfId="0" applyFont="1" applyBorder="1" applyAlignment="1">
      <alignment vertical="center" wrapText="1"/>
    </xf>
    <xf numFmtId="0" fontId="129" fillId="0" borderId="127" xfId="20966" applyFont="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7" xfId="0" applyFont="1" applyBorder="1" applyAlignment="1">
      <alignment horizontal="center" vertical="center" wrapText="1"/>
    </xf>
    <xf numFmtId="0" fontId="0" fillId="0" borderId="127" xfId="0" applyBorder="1" applyAlignment="1">
      <alignment horizontal="center" vertical="center"/>
    </xf>
    <xf numFmtId="0" fontId="127" fillId="0" borderId="132" xfId="0" applyFont="1" applyBorder="1" applyAlignment="1">
      <alignment horizontal="justify" vertical="center" wrapText="1"/>
    </xf>
    <xf numFmtId="0" fontId="127" fillId="0" borderId="124" xfId="0" applyFont="1" applyBorder="1" applyAlignment="1">
      <alignment horizontal="justify" vertical="center" wrapText="1"/>
    </xf>
    <xf numFmtId="0" fontId="125" fillId="0" borderId="124" xfId="0" applyFont="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Border="1" applyAlignment="1">
      <alignment horizontal="justify" vertical="center" wrapText="1"/>
    </xf>
    <xf numFmtId="0" fontId="127" fillId="0" borderId="126" xfId="0" applyFont="1" applyBorder="1" applyAlignment="1">
      <alignment horizontal="justify" vertical="center" wrapText="1"/>
    </xf>
    <xf numFmtId="0" fontId="125" fillId="0" borderId="124" xfId="0" applyFont="1" applyBorder="1" applyAlignment="1">
      <alignment vertical="center" wrapText="1"/>
    </xf>
    <xf numFmtId="0" fontId="126" fillId="0" borderId="124" xfId="0" applyFont="1" applyBorder="1" applyAlignment="1">
      <alignment horizontal="left" vertical="center" wrapText="1"/>
    </xf>
    <xf numFmtId="0" fontId="127" fillId="0" borderId="133" xfId="0" applyFont="1" applyBorder="1" applyAlignment="1">
      <alignment vertical="center" wrapText="1"/>
    </xf>
    <xf numFmtId="0" fontId="127" fillId="3" borderId="124" xfId="0" applyFont="1" applyFill="1" applyBorder="1" applyAlignment="1">
      <alignment vertical="center" wrapText="1"/>
    </xf>
    <xf numFmtId="0" fontId="105" fillId="0" borderId="130" xfId="0" applyFont="1" applyBorder="1" applyAlignment="1">
      <alignment vertical="center" wrapText="1"/>
    </xf>
    <xf numFmtId="0" fontId="2" fillId="0" borderId="130" xfId="0" applyFont="1" applyBorder="1" applyAlignment="1">
      <alignment horizontal="left" vertical="center" wrapText="1" indent="4"/>
    </xf>
    <xf numFmtId="0" fontId="45" fillId="0" borderId="130" xfId="0" applyFont="1" applyBorder="1" applyAlignment="1">
      <alignment vertical="center" wrapText="1"/>
    </xf>
    <xf numFmtId="0" fontId="2" fillId="0" borderId="127" xfId="0" applyFont="1" applyBorder="1" applyAlignment="1" applyProtection="1">
      <alignment horizontal="left" vertical="center" indent="11"/>
      <protection locked="0"/>
    </xf>
    <xf numFmtId="0" fontId="46" fillId="0" borderId="127" xfId="0" applyFont="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Font="1" applyBorder="1" applyAlignment="1">
      <alignment vertical="center" wrapText="1"/>
    </xf>
    <xf numFmtId="0" fontId="97" fillId="0" borderId="130" xfId="0" applyFont="1" applyBorder="1" applyAlignment="1">
      <alignment horizontal="left" vertical="center" wrapText="1"/>
    </xf>
    <xf numFmtId="0" fontId="2" fillId="0" borderId="130" xfId="0" applyFont="1" applyBorder="1" applyAlignment="1">
      <alignment horizontal="left" vertical="center" wrapText="1"/>
    </xf>
    <xf numFmtId="193" fontId="95" fillId="0" borderId="0" xfId="0" applyNumberFormat="1" applyFont="1" applyAlignment="1">
      <alignment horizontal="right"/>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0" fontId="117" fillId="0" borderId="127" xfId="0" applyFont="1" applyBorder="1"/>
    <xf numFmtId="49" fontId="119" fillId="0" borderId="127" xfId="5" applyNumberFormat="1" applyFont="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Border="1" applyAlignment="1" applyProtection="1">
      <alignment horizontal="left" vertical="center" wrapText="1"/>
      <protection locked="0"/>
    </xf>
    <xf numFmtId="49" fontId="118" fillId="0" borderId="127" xfId="5" applyNumberFormat="1" applyFont="1" applyBorder="1" applyAlignment="1" applyProtection="1">
      <alignment horizontal="right" vertical="center"/>
      <protection locked="0"/>
    </xf>
    <xf numFmtId="0" fontId="120" fillId="0" borderId="127" xfId="13" applyFont="1" applyBorder="1" applyAlignment="1" applyProtection="1">
      <alignment horizontal="left" vertical="center" wrapText="1"/>
      <protection locked="0"/>
    </xf>
    <xf numFmtId="0" fontId="117" fillId="0" borderId="127" xfId="0" applyFont="1" applyBorder="1" applyAlignment="1">
      <alignment horizontal="center" vertical="center" wrapText="1"/>
    </xf>
    <xf numFmtId="43" fontId="97" fillId="0" borderId="0" xfId="7" applyFont="1"/>
    <xf numFmtId="0" fontId="114" fillId="0" borderId="0" xfId="0" applyFont="1" applyAlignment="1">
      <alignment wrapText="1"/>
    </xf>
    <xf numFmtId="0" fontId="113" fillId="0" borderId="127" xfId="0" applyFont="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7" xfId="0" applyFont="1" applyBorder="1" applyAlignment="1">
      <alignment horizontal="left" vertical="center" wrapText="1"/>
    </xf>
    <xf numFmtId="0" fontId="116" fillId="0" borderId="127" xfId="0" applyFont="1" applyBorder="1" applyAlignment="1">
      <alignment horizontal="left" wrapText="1" indent="1"/>
    </xf>
    <xf numFmtId="0" fontId="116" fillId="0" borderId="127" xfId="0" applyFont="1" applyBorder="1" applyAlignment="1">
      <alignment horizontal="left" vertical="center" indent="1"/>
    </xf>
    <xf numFmtId="0" fontId="114" fillId="0" borderId="127" xfId="0" applyFont="1" applyBorder="1"/>
    <xf numFmtId="0" fontId="113" fillId="0" borderId="127" xfId="0" applyFont="1" applyBorder="1" applyAlignment="1">
      <alignment horizontal="left" wrapText="1" indent="1"/>
    </xf>
    <xf numFmtId="0" fontId="113" fillId="0" borderId="127" xfId="0" applyFont="1" applyBorder="1" applyAlignment="1">
      <alignment horizontal="left" indent="1"/>
    </xf>
    <xf numFmtId="0" fontId="113" fillId="0" borderId="127" xfId="0" applyFont="1" applyBorder="1" applyAlignment="1">
      <alignment horizontal="left" wrapText="1" indent="4"/>
    </xf>
    <xf numFmtId="0" fontId="113" fillId="0" borderId="127" xfId="0" applyFont="1" applyBorder="1" applyAlignment="1">
      <alignment horizontal="left" indent="3"/>
    </xf>
    <xf numFmtId="0" fontId="116" fillId="0" borderId="127" xfId="0" applyFont="1" applyBorder="1" applyAlignment="1">
      <alignment horizontal="left" indent="1"/>
    </xf>
    <xf numFmtId="0" fontId="117" fillId="0" borderId="7" xfId="0" applyFont="1" applyBorder="1"/>
    <xf numFmtId="0" fontId="114" fillId="0" borderId="127" xfId="0" applyFont="1" applyBorder="1" applyAlignment="1">
      <alignment horizontal="left" wrapText="1" indent="2"/>
    </xf>
    <xf numFmtId="0" fontId="114" fillId="0" borderId="127" xfId="0" applyFont="1" applyBorder="1" applyAlignment="1">
      <alignment horizontal="left" wrapText="1"/>
    </xf>
    <xf numFmtId="0" fontId="113" fillId="0" borderId="127"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6" xfId="0" applyFont="1" applyBorder="1" applyAlignment="1">
      <alignment horizontal="center" vertical="center" wrapText="1"/>
    </xf>
    <xf numFmtId="0" fontId="113" fillId="0" borderId="130" xfId="0" applyFont="1" applyBorder="1" applyAlignment="1">
      <alignment horizontal="center" vertical="center" wrapText="1"/>
    </xf>
    <xf numFmtId="0" fontId="113" fillId="0" borderId="107" xfId="0" applyFont="1" applyBorder="1" applyAlignment="1">
      <alignment horizontal="center" vertical="center" wrapText="1"/>
    </xf>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7" xfId="0" applyFont="1" applyBorder="1" applyAlignment="1">
      <alignment horizontal="left" vertical="center" wrapText="1"/>
    </xf>
    <xf numFmtId="0" fontId="118" fillId="0" borderId="0" xfId="0" applyFont="1"/>
    <xf numFmtId="0" fontId="95" fillId="0" borderId="0" xfId="0" applyFont="1" applyAlignment="1">
      <alignment wrapText="1"/>
    </xf>
    <xf numFmtId="0" fontId="118" fillId="0" borderId="127" xfId="0" applyFont="1" applyBorder="1"/>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Font="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Font="1" applyBorder="1" applyAlignment="1">
      <alignment vertical="center" wrapText="1" readingOrder="1"/>
    </xf>
    <xf numFmtId="0" fontId="134" fillId="0" borderId="127" xfId="0" applyFont="1" applyBorder="1" applyAlignment="1">
      <alignment horizontal="left" indent="2"/>
    </xf>
    <xf numFmtId="0" fontId="113" fillId="0" borderId="123" xfId="0" applyFont="1" applyBorder="1" applyAlignment="1">
      <alignment vertical="center" wrapText="1" readingOrder="1"/>
    </xf>
    <xf numFmtId="0" fontId="134" fillId="0" borderId="131" xfId="0" applyFont="1" applyBorder="1" applyAlignment="1">
      <alignment horizontal="left" indent="2"/>
    </xf>
    <xf numFmtId="0" fontId="113" fillId="0" borderId="122" xfId="0" applyFont="1" applyBorder="1" applyAlignment="1">
      <alignment vertical="center" wrapText="1" readingOrder="1"/>
    </xf>
    <xf numFmtId="0" fontId="113" fillId="0" borderId="121" xfId="0" applyFont="1" applyBorder="1" applyAlignment="1">
      <alignment vertical="center" wrapText="1" readingOrder="1"/>
    </xf>
    <xf numFmtId="0" fontId="134" fillId="0" borderId="7" xfId="0" applyFont="1" applyBorder="1"/>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7"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7"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7" fillId="2" borderId="87" xfId="0" applyNumberFormat="1" applyFont="1" applyFill="1" applyBorder="1" applyAlignment="1" applyProtection="1">
      <alignment vertical="center"/>
      <protection locked="0"/>
    </xf>
    <xf numFmtId="193" fontId="87" fillId="2" borderId="131"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2" fillId="81" borderId="0" xfId="13" applyFont="1" applyFill="1" applyAlignment="1" applyProtection="1">
      <alignment wrapText="1"/>
      <protection locked="0"/>
    </xf>
    <xf numFmtId="164" fontId="4" fillId="36" borderId="81" xfId="7" applyNumberFormat="1" applyFont="1" applyFill="1" applyBorder="1" applyAlignment="1">
      <alignment horizontal="center" vertical="center" wrapText="1"/>
    </xf>
    <xf numFmtId="164" fontId="3" fillId="3" borderId="84" xfId="7" applyNumberFormat="1" applyFont="1" applyFill="1" applyBorder="1" applyAlignment="1">
      <alignment vertical="center"/>
    </xf>
    <xf numFmtId="164" fontId="3" fillId="0" borderId="80" xfId="7" applyNumberFormat="1" applyFont="1" applyBorder="1" applyAlignment="1">
      <alignment vertical="center"/>
    </xf>
    <xf numFmtId="164" fontId="3" fillId="0" borderId="81" xfId="7" applyNumberFormat="1" applyFont="1" applyBorder="1" applyAlignment="1">
      <alignment vertical="center"/>
    </xf>
    <xf numFmtId="164" fontId="84" fillId="36" borderId="19" xfId="7" applyNumberFormat="1" applyFont="1" applyFill="1" applyBorder="1" applyAlignment="1">
      <alignment horizontal="center" vertical="center" wrapText="1"/>
    </xf>
    <xf numFmtId="164" fontId="84" fillId="0" borderId="19" xfId="7" applyNumberFormat="1" applyFont="1" applyBorder="1" applyAlignment="1">
      <alignment wrapText="1"/>
    </xf>
    <xf numFmtId="43" fontId="137" fillId="0" borderId="127" xfId="7" applyFont="1" applyBorder="1"/>
    <xf numFmtId="43" fontId="118" fillId="0" borderId="131" xfId="7" applyFont="1" applyBorder="1"/>
    <xf numFmtId="43" fontId="118" fillId="0" borderId="127" xfId="7" applyFont="1" applyBorder="1"/>
    <xf numFmtId="10" fontId="137" fillId="0" borderId="127" xfId="20962" applyNumberFormat="1" applyFont="1" applyBorder="1"/>
    <xf numFmtId="10" fontId="118" fillId="0" borderId="131" xfId="20962" applyNumberFormat="1" applyFont="1" applyBorder="1"/>
    <xf numFmtId="10" fontId="118" fillId="0" borderId="127" xfId="20962" applyNumberFormat="1" applyFont="1" applyBorder="1"/>
    <xf numFmtId="164" fontId="137" fillId="0" borderId="127" xfId="7" applyNumberFormat="1" applyFont="1" applyBorder="1"/>
    <xf numFmtId="164" fontId="118" fillId="0" borderId="131" xfId="7" applyNumberFormat="1" applyFont="1" applyBorder="1"/>
    <xf numFmtId="164" fontId="118" fillId="0" borderId="127" xfId="7" applyNumberFormat="1" applyFont="1" applyBorder="1"/>
    <xf numFmtId="164" fontId="113" fillId="0" borderId="0" xfId="0" applyNumberFormat="1" applyFont="1" applyAlignment="1">
      <alignment horizontal="left"/>
    </xf>
    <xf numFmtId="164" fontId="113" fillId="0" borderId="127" xfId="7" applyNumberFormat="1" applyFont="1" applyBorder="1" applyAlignment="1">
      <alignment horizontal="center" vertical="center"/>
    </xf>
    <xf numFmtId="164" fontId="113" fillId="0" borderId="127" xfId="7" applyNumberFormat="1" applyFont="1" applyBorder="1" applyAlignment="1">
      <alignment horizontal="center" vertical="center" wrapText="1"/>
    </xf>
    <xf numFmtId="164" fontId="113" fillId="0" borderId="127" xfId="7" applyNumberFormat="1" applyFont="1" applyBorder="1" applyAlignment="1">
      <alignment horizontal="left" vertical="center" wrapText="1"/>
    </xf>
    <xf numFmtId="164" fontId="113" fillId="79" borderId="130" xfId="7" applyNumberFormat="1" applyFont="1" applyFill="1" applyBorder="1"/>
    <xf numFmtId="164" fontId="113" fillId="79" borderId="81" xfId="7" applyNumberFormat="1" applyFont="1" applyFill="1" applyBorder="1"/>
    <xf numFmtId="164" fontId="113" fillId="79" borderId="127" xfId="7" applyNumberFormat="1" applyFont="1" applyFill="1" applyBorder="1"/>
    <xf numFmtId="164" fontId="113" fillId="0" borderId="130" xfId="7" applyNumberFormat="1" applyFont="1" applyBorder="1"/>
    <xf numFmtId="164" fontId="113" fillId="0" borderId="81" xfId="7" applyNumberFormat="1" applyFont="1" applyBorder="1"/>
    <xf numFmtId="164" fontId="113" fillId="76" borderId="127" xfId="7" applyNumberFormat="1" applyFont="1" applyFill="1" applyBorder="1"/>
    <xf numFmtId="164" fontId="116" fillId="76" borderId="127" xfId="7" applyNumberFormat="1" applyFont="1" applyFill="1" applyBorder="1"/>
    <xf numFmtId="164" fontId="113" fillId="0" borderId="127" xfId="7" applyNumberFormat="1" applyFont="1" applyBorder="1" applyAlignment="1">
      <alignment horizontal="left" indent="1"/>
    </xf>
    <xf numFmtId="164" fontId="114" fillId="78" borderId="127" xfId="7" applyNumberFormat="1" applyFont="1" applyFill="1" applyBorder="1"/>
    <xf numFmtId="164" fontId="116" fillId="36" borderId="127" xfId="7" applyNumberFormat="1" applyFont="1" applyFill="1" applyBorder="1"/>
    <xf numFmtId="164" fontId="116" fillId="0" borderId="127" xfId="7" applyNumberFormat="1" applyFont="1" applyBorder="1"/>
    <xf numFmtId="164" fontId="113" fillId="36" borderId="127" xfId="7" applyNumberFormat="1" applyFont="1" applyFill="1" applyBorder="1"/>
    <xf numFmtId="164" fontId="113" fillId="0" borderId="127" xfId="7" applyNumberFormat="1" applyFont="1" applyBorder="1"/>
    <xf numFmtId="164" fontId="114" fillId="0" borderId="127" xfId="7" applyNumberFormat="1" applyFont="1" applyBorder="1"/>
    <xf numFmtId="164" fontId="117" fillId="0" borderId="127" xfId="7" applyNumberFormat="1" applyFont="1" applyBorder="1"/>
    <xf numFmtId="10" fontId="4" fillId="0" borderId="23" xfId="20962" applyNumberFormat="1" applyFont="1" applyBorder="1" applyAlignment="1">
      <alignment vertical="center"/>
    </xf>
    <xf numFmtId="169" fontId="9" fillId="37" borderId="25" xfId="20" applyBorder="1" applyAlignment="1">
      <alignment vertical="center"/>
    </xf>
    <xf numFmtId="169" fontId="9" fillId="37" borderId="89" xfId="20" applyBorder="1" applyAlignment="1">
      <alignment vertical="center"/>
    </xf>
    <xf numFmtId="169" fontId="9" fillId="37" borderId="24" xfId="20" applyBorder="1" applyAlignment="1">
      <alignment vertical="center"/>
    </xf>
    <xf numFmtId="0" fontId="3" fillId="3" borderId="96" xfId="0" applyFont="1" applyFill="1" applyBorder="1" applyAlignment="1">
      <alignment vertical="center"/>
    </xf>
    <xf numFmtId="164" fontId="3" fillId="3" borderId="96" xfId="7" applyNumberFormat="1" applyFont="1" applyFill="1" applyBorder="1" applyAlignment="1">
      <alignment vertical="center"/>
    </xf>
    <xf numFmtId="164" fontId="4" fillId="0" borderId="81" xfId="7" applyNumberFormat="1" applyFont="1" applyBorder="1" applyAlignment="1">
      <alignment vertical="center"/>
    </xf>
    <xf numFmtId="169" fontId="9" fillId="37" borderId="99" xfId="20" applyBorder="1" applyAlignment="1">
      <alignment vertical="center"/>
    </xf>
    <xf numFmtId="10" fontId="106" fillId="0" borderId="99" xfId="20962" applyNumberFormat="1" applyFont="1" applyFill="1" applyBorder="1" applyAlignment="1" applyProtection="1">
      <alignment horizontal="right" vertical="center"/>
      <protection locked="0"/>
    </xf>
    <xf numFmtId="164" fontId="3" fillId="0" borderId="91" xfId="7" applyNumberFormat="1" applyFont="1" applyBorder="1" applyAlignment="1">
      <alignment vertical="center"/>
    </xf>
    <xf numFmtId="164" fontId="3" fillId="0" borderId="90" xfId="7" applyNumberFormat="1" applyFont="1" applyBorder="1" applyAlignment="1">
      <alignment vertical="center"/>
    </xf>
    <xf numFmtId="164" fontId="3" fillId="3" borderId="83" xfId="7" applyNumberFormat="1" applyFont="1" applyFill="1" applyBorder="1" applyAlignment="1">
      <alignment vertical="center"/>
    </xf>
    <xf numFmtId="164" fontId="3" fillId="0" borderId="8" xfId="7" applyNumberFormat="1" applyFont="1" applyBorder="1"/>
    <xf numFmtId="164" fontId="3" fillId="0" borderId="3" xfId="7" applyNumberFormat="1" applyFont="1" applyBorder="1"/>
    <xf numFmtId="164" fontId="84" fillId="0" borderId="20" xfId="7" applyNumberFormat="1" applyFont="1" applyBorder="1"/>
    <xf numFmtId="164" fontId="84" fillId="0" borderId="19" xfId="7" applyNumberFormat="1" applyFont="1" applyBorder="1"/>
    <xf numFmtId="164" fontId="84" fillId="0" borderId="3" xfId="7" applyNumberFormat="1" applyFont="1" applyBorder="1"/>
    <xf numFmtId="164" fontId="86" fillId="0" borderId="12" xfId="7" applyNumberFormat="1" applyFont="1" applyBorder="1" applyAlignment="1">
      <alignment horizontal="center" vertical="center"/>
    </xf>
    <xf numFmtId="164" fontId="86" fillId="0" borderId="127" xfId="7" applyNumberFormat="1" applyFont="1" applyBorder="1" applyAlignment="1">
      <alignment horizontal="center"/>
    </xf>
    <xf numFmtId="164" fontId="86" fillId="0" borderId="22" xfId="7" applyNumberFormat="1" applyFont="1" applyBorder="1" applyAlignment="1">
      <alignment horizontal="center"/>
    </xf>
    <xf numFmtId="167" fontId="84" fillId="0" borderId="142" xfId="0" applyNumberFormat="1" applyFont="1" applyBorder="1" applyAlignment="1">
      <alignment horizontal="center"/>
    </xf>
    <xf numFmtId="0" fontId="127" fillId="0" borderId="22" xfId="0" applyFont="1" applyBorder="1" applyAlignment="1">
      <alignment horizontal="left" vertical="center" wrapText="1"/>
    </xf>
    <xf numFmtId="0" fontId="0" fillId="0" borderId="22" xfId="0" applyBorder="1" applyAlignment="1">
      <alignment horizontal="center"/>
    </xf>
    <xf numFmtId="164" fontId="84" fillId="0" borderId="127" xfId="7" applyNumberFormat="1" applyFont="1" applyBorder="1" applyAlignment="1">
      <alignment horizontal="center"/>
    </xf>
    <xf numFmtId="164" fontId="86" fillId="0" borderId="127" xfId="7" applyNumberFormat="1" applyFont="1" applyBorder="1" applyAlignment="1">
      <alignment horizontal="center" vertical="center"/>
    </xf>
    <xf numFmtId="164" fontId="84" fillId="0" borderId="127" xfId="7" applyNumberFormat="1" applyFont="1" applyBorder="1" applyAlignment="1">
      <alignment horizontal="center" vertical="center"/>
    </xf>
    <xf numFmtId="164" fontId="4" fillId="36" borderId="81" xfId="7" applyNumberFormat="1" applyFont="1" applyFill="1" applyBorder="1" applyAlignment="1">
      <alignment horizontal="left" vertical="center" wrapText="1"/>
    </xf>
    <xf numFmtId="164" fontId="3" fillId="0" borderId="81" xfId="7" applyNumberFormat="1" applyFont="1" applyBorder="1" applyAlignment="1">
      <alignment horizontal="right" vertical="center" wrapText="1"/>
    </xf>
    <xf numFmtId="164" fontId="2" fillId="36" borderId="19" xfId="7" applyNumberFormat="1" applyFont="1" applyFill="1" applyBorder="1" applyAlignment="1" applyProtection="1">
      <alignment vertical="top" wrapText="1"/>
      <protection locked="0"/>
    </xf>
    <xf numFmtId="164" fontId="2" fillId="3" borderId="19" xfId="7" applyNumberFormat="1" applyFont="1" applyFill="1" applyBorder="1" applyAlignment="1" applyProtection="1">
      <alignment vertical="top" wrapText="1"/>
      <protection locked="0"/>
    </xf>
    <xf numFmtId="164" fontId="2" fillId="36" borderId="19" xfId="7" applyNumberFormat="1" applyFont="1" applyFill="1" applyBorder="1" applyAlignment="1" applyProtection="1">
      <alignment vertical="top" wrapText="1"/>
    </xf>
    <xf numFmtId="164" fontId="2" fillId="3" borderId="19" xfId="7" applyNumberFormat="1" applyFont="1" applyFill="1" applyBorder="1" applyAlignment="1" applyProtection="1">
      <alignment vertical="top"/>
      <protection locked="0"/>
    </xf>
    <xf numFmtId="164" fontId="2" fillId="36" borderId="19" xfId="7" applyNumberFormat="1" applyFont="1" applyFill="1" applyBorder="1" applyAlignment="1" applyProtection="1">
      <alignment vertical="top"/>
    </xf>
    <xf numFmtId="43" fontId="85" fillId="0" borderId="0" xfId="0" applyNumberFormat="1" applyFont="1"/>
    <xf numFmtId="164" fontId="84" fillId="0" borderId="127" xfId="7" applyNumberFormat="1" applyFont="1" applyFill="1" applyBorder="1" applyAlignment="1">
      <alignment horizontal="center" vertical="center"/>
    </xf>
    <xf numFmtId="164" fontId="84" fillId="0" borderId="80" xfId="7" applyNumberFormat="1" applyFont="1" applyFill="1" applyBorder="1" applyAlignment="1">
      <alignment horizontal="center" vertical="center"/>
    </xf>
    <xf numFmtId="9" fontId="84" fillId="0" borderId="20" xfId="20962" applyFont="1" applyBorder="1"/>
    <xf numFmtId="9" fontId="84" fillId="0" borderId="20" xfId="0" applyNumberFormat="1" applyFont="1" applyBorder="1"/>
    <xf numFmtId="164" fontId="89" fillId="0" borderId="0" xfId="0" applyNumberFormat="1" applyFont="1"/>
    <xf numFmtId="164" fontId="104" fillId="0" borderId="84" xfId="7" applyNumberFormat="1" applyFont="1" applyBorder="1" applyAlignment="1">
      <alignment vertical="center" wrapText="1"/>
    </xf>
    <xf numFmtId="164" fontId="104" fillId="0" borderId="100" xfId="7" applyNumberFormat="1" applyFont="1" applyBorder="1" applyAlignment="1">
      <alignment vertical="center" wrapText="1"/>
    </xf>
    <xf numFmtId="164" fontId="104" fillId="0" borderId="99" xfId="7" applyNumberFormat="1" applyFont="1" applyBorder="1" applyAlignment="1">
      <alignment vertical="center" wrapText="1"/>
    </xf>
    <xf numFmtId="164" fontId="104" fillId="36" borderId="84" xfId="7" applyNumberFormat="1" applyFont="1" applyFill="1" applyBorder="1" applyAlignment="1">
      <alignment vertical="center" wrapText="1"/>
    </xf>
    <xf numFmtId="164" fontId="104" fillId="36" borderId="100" xfId="7" applyNumberFormat="1" applyFont="1" applyFill="1" applyBorder="1" applyAlignment="1">
      <alignment vertical="center" wrapText="1"/>
    </xf>
    <xf numFmtId="164" fontId="104" fillId="36" borderId="99" xfId="7" applyNumberFormat="1" applyFont="1" applyFill="1" applyBorder="1" applyAlignment="1">
      <alignment vertical="center" wrapText="1"/>
    </xf>
    <xf numFmtId="164" fontId="95" fillId="36" borderId="23" xfId="7" applyNumberFormat="1" applyFont="1" applyFill="1" applyBorder="1" applyAlignment="1">
      <alignment horizontal="right"/>
    </xf>
    <xf numFmtId="164" fontId="95" fillId="36" borderId="22" xfId="7" applyNumberFormat="1" applyFont="1" applyFill="1" applyBorder="1" applyAlignment="1">
      <alignment horizontal="right"/>
    </xf>
    <xf numFmtId="164" fontId="95" fillId="0" borderId="22" xfId="7" applyNumberFormat="1" applyFont="1" applyBorder="1" applyAlignment="1">
      <alignment horizontal="right"/>
    </xf>
    <xf numFmtId="164" fontId="95" fillId="36" borderId="81" xfId="7" applyNumberFormat="1" applyFont="1" applyFill="1" applyBorder="1" applyAlignment="1">
      <alignment horizontal="right"/>
    </xf>
    <xf numFmtId="164" fontId="95" fillId="36" borderId="127" xfId="7" applyNumberFormat="1" applyFont="1" applyFill="1" applyBorder="1" applyAlignment="1">
      <alignment horizontal="right"/>
    </xf>
    <xf numFmtId="164" fontId="95" fillId="0" borderId="127" xfId="7" applyNumberFormat="1" applyFont="1" applyBorder="1" applyAlignment="1">
      <alignment horizontal="right"/>
    </xf>
    <xf numFmtId="164" fontId="0" fillId="36" borderId="127" xfId="7" applyNumberFormat="1" applyFont="1" applyFill="1" applyBorder="1"/>
    <xf numFmtId="164" fontId="0" fillId="0" borderId="127" xfId="7" applyNumberFormat="1" applyFont="1" applyBorder="1"/>
    <xf numFmtId="164" fontId="0" fillId="36" borderId="114" xfId="7" applyNumberFormat="1" applyFont="1" applyFill="1" applyBorder="1" applyAlignment="1">
      <alignment vertical="center"/>
    </xf>
    <xf numFmtId="164" fontId="0" fillId="0" borderId="114" xfId="7" applyNumberFormat="1" applyFont="1" applyBorder="1" applyAlignment="1">
      <alignment vertical="center"/>
    </xf>
    <xf numFmtId="164" fontId="0" fillId="36" borderId="114" xfId="7" applyNumberFormat="1" applyFont="1" applyFill="1" applyBorder="1"/>
    <xf numFmtId="164" fontId="0" fillId="0" borderId="114" xfId="7" applyNumberFormat="1" applyFont="1" applyBorder="1"/>
    <xf numFmtId="164" fontId="2" fillId="0" borderId="114" xfId="7" applyNumberFormat="1" applyFont="1" applyBorder="1" applyAlignment="1">
      <alignment horizontal="center" vertical="center" wrapText="1"/>
    </xf>
    <xf numFmtId="10" fontId="87" fillId="2" borderId="21" xfId="20962" applyNumberFormat="1" applyFont="1" applyFill="1" applyBorder="1" applyAlignment="1" applyProtection="1">
      <alignment vertical="center"/>
      <protection locked="0"/>
    </xf>
    <xf numFmtId="10" fontId="87" fillId="2" borderId="131" xfId="20962" applyNumberFormat="1" applyFont="1" applyFill="1" applyBorder="1" applyAlignment="1" applyProtection="1">
      <alignment vertical="center"/>
      <protection locked="0"/>
    </xf>
    <xf numFmtId="10" fontId="87" fillId="2" borderId="87" xfId="20962" applyNumberFormat="1" applyFont="1" applyFill="1" applyBorder="1" applyAlignment="1" applyProtection="1">
      <alignment vertical="center"/>
      <protection locked="0"/>
    </xf>
    <xf numFmtId="10" fontId="87" fillId="2" borderId="19"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2" fillId="2" borderId="3" xfId="20962" applyNumberFormat="1" applyFont="1" applyFill="1" applyBorder="1" applyAlignment="1" applyProtection="1">
      <alignment vertical="center"/>
      <protection locked="0"/>
    </xf>
    <xf numFmtId="10" fontId="84" fillId="0" borderId="19" xfId="20962" applyNumberFormat="1" applyFont="1" applyBorder="1" applyAlignment="1" applyProtection="1">
      <alignment vertical="center" wrapText="1"/>
      <protection locked="0"/>
    </xf>
    <xf numFmtId="10" fontId="84" fillId="0" borderId="3" xfId="20962" applyNumberFormat="1" applyFont="1" applyBorder="1" applyAlignment="1" applyProtection="1">
      <alignment vertical="center" wrapText="1"/>
      <protection locked="0"/>
    </xf>
    <xf numFmtId="10" fontId="2" fillId="0" borderId="3" xfId="20962" applyNumberFormat="1" applyFont="1" applyBorder="1" applyAlignment="1" applyProtection="1">
      <alignment horizontal="right" vertical="center" wrapText="1"/>
      <protection locked="0"/>
    </xf>
    <xf numFmtId="10" fontId="2" fillId="37" borderId="96" xfId="20962" applyNumberFormat="1" applyFont="1" applyFill="1" applyBorder="1"/>
    <xf numFmtId="10" fontId="2" fillId="37" borderId="0" xfId="20962" applyNumberFormat="1" applyFont="1" applyFill="1"/>
    <xf numFmtId="10" fontId="2" fillId="37" borderId="63" xfId="20962" applyNumberFormat="1" applyFont="1" applyFill="1" applyBorder="1"/>
    <xf numFmtId="10" fontId="87" fillId="2" borderId="2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2" fillId="2" borderId="22" xfId="20962" applyNumberFormat="1" applyFont="1" applyFill="1" applyBorder="1" applyAlignment="1" applyProtection="1">
      <alignment vertical="center"/>
      <protection locked="0"/>
    </xf>
    <xf numFmtId="10" fontId="87" fillId="2" borderId="91" xfId="20962" applyNumberFormat="1" applyFont="1" applyFill="1" applyBorder="1" applyAlignment="1" applyProtection="1">
      <alignment vertical="center"/>
      <protection locked="0"/>
    </xf>
    <xf numFmtId="10" fontId="87" fillId="2" borderId="97" xfId="20962" applyNumberFormat="1" applyFont="1" applyFill="1" applyBorder="1" applyAlignment="1" applyProtection="1">
      <alignment vertical="center"/>
      <protection locked="0"/>
    </xf>
    <xf numFmtId="10" fontId="2" fillId="2" borderId="97" xfId="20962" applyNumberFormat="1" applyFont="1" applyFill="1" applyBorder="1" applyAlignment="1" applyProtection="1">
      <alignment vertical="center"/>
      <protection locked="0"/>
    </xf>
    <xf numFmtId="169" fontId="9" fillId="37" borderId="63" xfId="20" applyBorder="1"/>
    <xf numFmtId="169" fontId="9" fillId="37" borderId="96" xfId="20" applyBorder="1"/>
    <xf numFmtId="0" fontId="6" fillId="0" borderId="3" xfId="17" applyBorder="1" applyAlignment="1" applyProtection="1"/>
    <xf numFmtId="164" fontId="3" fillId="0" borderId="86" xfId="7" applyNumberFormat="1" applyFont="1" applyBorder="1" applyAlignment="1">
      <alignment vertical="center"/>
    </xf>
    <xf numFmtId="164" fontId="3" fillId="3" borderId="0" xfId="7" applyNumberFormat="1" applyFont="1" applyFill="1" applyBorder="1" applyAlignment="1">
      <alignment vertical="center"/>
    </xf>
    <xf numFmtId="10" fontId="87" fillId="2" borderId="127"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87" fillId="2" borderId="18" xfId="20962" applyNumberFormat="1" applyFont="1" applyFill="1" applyBorder="1" applyAlignment="1" applyProtection="1">
      <alignment vertical="center"/>
      <protection locked="0"/>
    </xf>
    <xf numFmtId="10" fontId="84" fillId="0" borderId="127" xfId="20962" applyNumberFormat="1" applyFont="1" applyBorder="1" applyAlignment="1" applyProtection="1">
      <alignment vertical="center" wrapText="1"/>
      <protection locked="0"/>
    </xf>
    <xf numFmtId="10" fontId="84" fillId="0" borderId="81" xfId="20962" applyNumberFormat="1" applyFont="1" applyBorder="1" applyAlignment="1" applyProtection="1">
      <alignment vertical="center" wrapText="1"/>
      <protection locked="0"/>
    </xf>
    <xf numFmtId="10" fontId="84" fillId="0" borderId="18" xfId="20962" applyNumberFormat="1" applyFont="1" applyBorder="1" applyAlignment="1" applyProtection="1">
      <alignment vertical="center" wrapText="1"/>
      <protection locked="0"/>
    </xf>
    <xf numFmtId="43" fontId="85" fillId="0" borderId="0" xfId="7" applyFont="1"/>
    <xf numFmtId="164" fontId="2" fillId="0" borderId="0" xfId="7" applyNumberFormat="1" applyFont="1"/>
    <xf numFmtId="164" fontId="84" fillId="0" borderId="0" xfId="7" applyNumberFormat="1" applyFont="1"/>
    <xf numFmtId="164" fontId="85" fillId="0" borderId="0" xfId="7" applyNumberFormat="1" applyFont="1"/>
    <xf numFmtId="164" fontId="0" fillId="0" borderId="0" xfId="7" applyNumberFormat="1" applyFont="1"/>
    <xf numFmtId="164" fontId="0" fillId="0" borderId="0" xfId="0" applyNumberFormat="1"/>
    <xf numFmtId="164" fontId="86" fillId="36" borderId="22" xfId="7" applyNumberFormat="1" applyFont="1" applyFill="1" applyBorder="1" applyAlignment="1">
      <alignment horizontal="center" vertical="center"/>
    </xf>
    <xf numFmtId="164" fontId="85" fillId="0" borderId="0" xfId="0" applyNumberFormat="1" applyFont="1"/>
    <xf numFmtId="164" fontId="84" fillId="36" borderId="17" xfId="7" applyNumberFormat="1" applyFont="1" applyFill="1" applyBorder="1" applyAlignment="1">
      <alignment horizontal="center" vertical="center"/>
    </xf>
    <xf numFmtId="164" fontId="84" fillId="36" borderId="23" xfId="7" applyNumberFormat="1" applyFont="1" applyFill="1" applyBorder="1" applyAlignment="1">
      <alignment horizontal="center" vertical="center" wrapText="1"/>
    </xf>
    <xf numFmtId="164" fontId="2" fillId="3" borderId="81" xfId="7" applyNumberFormat="1" applyFont="1" applyFill="1" applyBorder="1" applyAlignment="1" applyProtection="1">
      <alignment vertical="top" wrapText="1"/>
      <protection locked="0"/>
    </xf>
    <xf numFmtId="164" fontId="2" fillId="36" borderId="23" xfId="7" applyNumberFormat="1" applyFont="1" applyFill="1" applyBorder="1" applyAlignment="1" applyProtection="1">
      <alignment vertical="top" wrapText="1"/>
    </xf>
    <xf numFmtId="43" fontId="3" fillId="0" borderId="0" xfId="7" applyFont="1" applyAlignment="1">
      <alignment horizontal="left" vertical="center"/>
    </xf>
    <xf numFmtId="164" fontId="3" fillId="0" borderId="23" xfId="7" applyNumberFormat="1" applyFont="1" applyBorder="1" applyAlignment="1">
      <alignment horizontal="right" vertical="center" wrapText="1"/>
    </xf>
    <xf numFmtId="164" fontId="84" fillId="0" borderId="59" xfId="7" applyNumberFormat="1" applyFont="1" applyBorder="1" applyAlignment="1">
      <alignment horizontal="center" vertical="center" wrapText="1"/>
    </xf>
    <xf numFmtId="164" fontId="84" fillId="0" borderId="31" xfId="7" applyNumberFormat="1" applyFont="1" applyBorder="1" applyAlignment="1">
      <alignment horizontal="center" vertical="center"/>
    </xf>
    <xf numFmtId="164" fontId="84" fillId="0" borderId="11" xfId="7" applyNumberFormat="1" applyFont="1" applyBorder="1" applyAlignment="1">
      <alignment horizontal="center" vertical="center"/>
    </xf>
    <xf numFmtId="164" fontId="88" fillId="0" borderId="11" xfId="7" applyNumberFormat="1" applyFont="1" applyBorder="1" applyAlignment="1">
      <alignment horizontal="center" vertical="center"/>
    </xf>
    <xf numFmtId="164" fontId="84" fillId="0" borderId="12" xfId="7" applyNumberFormat="1" applyFont="1" applyBorder="1" applyAlignment="1">
      <alignment horizontal="center" vertical="center"/>
    </xf>
    <xf numFmtId="164" fontId="86" fillId="0" borderId="13" xfId="7" applyNumberFormat="1" applyFont="1" applyBorder="1" applyAlignment="1">
      <alignment horizontal="center" vertical="center"/>
    </xf>
    <xf numFmtId="164" fontId="84" fillId="0" borderId="14" xfId="7" applyNumberFormat="1" applyFont="1" applyBorder="1" applyAlignment="1">
      <alignment horizontal="center" vertical="center"/>
    </xf>
    <xf numFmtId="164" fontId="88" fillId="0" borderId="12" xfId="7" applyNumberFormat="1" applyFont="1" applyBorder="1" applyAlignment="1">
      <alignment vertical="center"/>
    </xf>
    <xf numFmtId="164" fontId="84" fillId="0" borderId="127" xfId="7" applyNumberFormat="1" applyFont="1" applyBorder="1"/>
    <xf numFmtId="164" fontId="84" fillId="36" borderId="22" xfId="7" applyNumberFormat="1" applyFont="1" applyFill="1" applyBorder="1"/>
    <xf numFmtId="164" fontId="9" fillId="37" borderId="0" xfId="7" applyNumberFormat="1" applyFont="1" applyFill="1"/>
    <xf numFmtId="164" fontId="3" fillId="0" borderId="85" xfId="7" applyNumberFormat="1" applyFont="1" applyBorder="1" applyAlignment="1">
      <alignment vertical="center"/>
    </xf>
    <xf numFmtId="164" fontId="3" fillId="0" borderId="64" xfId="7" applyNumberFormat="1" applyFont="1" applyBorder="1" applyAlignment="1">
      <alignment vertical="center"/>
    </xf>
    <xf numFmtId="164" fontId="3" fillId="0" borderId="0" xfId="0" applyNumberFormat="1" applyFont="1"/>
    <xf numFmtId="164" fontId="3" fillId="0" borderId="22" xfId="7" applyNumberFormat="1" applyFont="1" applyBorder="1" applyAlignment="1">
      <alignment vertical="center"/>
    </xf>
    <xf numFmtId="164" fontId="3" fillId="0" borderId="24" xfId="7" applyNumberFormat="1" applyFont="1" applyBorder="1" applyAlignment="1">
      <alignment vertical="center"/>
    </xf>
    <xf numFmtId="164" fontId="3" fillId="0" borderId="23" xfId="7" applyNumberFormat="1" applyFont="1" applyBorder="1" applyAlignment="1">
      <alignment vertical="center"/>
    </xf>
    <xf numFmtId="164" fontId="3" fillId="0" borderId="26" xfId="7" applyNumberFormat="1" applyFont="1" applyBorder="1" applyAlignment="1">
      <alignment vertical="center"/>
    </xf>
    <xf numFmtId="164" fontId="3" fillId="0" borderId="17" xfId="7" applyNumberFormat="1" applyFont="1" applyBorder="1" applyAlignment="1">
      <alignment vertical="center"/>
    </xf>
    <xf numFmtId="10" fontId="3" fillId="0" borderId="94" xfId="20962" applyNumberFormat="1" applyFont="1" applyBorder="1" applyAlignment="1">
      <alignment vertical="center"/>
    </xf>
    <xf numFmtId="10" fontId="3" fillId="0" borderId="95" xfId="20962" applyNumberFormat="1" applyFont="1" applyBorder="1" applyAlignment="1">
      <alignment vertical="center"/>
    </xf>
    <xf numFmtId="164" fontId="116" fillId="0" borderId="141" xfId="7" applyNumberFormat="1" applyFont="1" applyBorder="1"/>
    <xf numFmtId="164" fontId="113" fillId="0" borderId="0" xfId="0" applyNumberFormat="1" applyFont="1"/>
    <xf numFmtId="164" fontId="116" fillId="0" borderId="18"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Border="1" applyAlignment="1">
      <alignment horizontal="left" indent="3"/>
    </xf>
    <xf numFmtId="164" fontId="113" fillId="79" borderId="18" xfId="7" applyNumberFormat="1" applyFont="1" applyFill="1" applyBorder="1"/>
    <xf numFmtId="164" fontId="113" fillId="0" borderId="18" xfId="7" applyNumberFormat="1" applyFont="1" applyBorder="1" applyAlignment="1">
      <alignment horizontal="left" vertical="top" wrapText="1" indent="2"/>
    </xf>
    <xf numFmtId="164" fontId="113" fillId="0" borderId="18" xfId="7" applyNumberFormat="1" applyFont="1" applyBorder="1" applyAlignment="1">
      <alignment horizontal="left" wrapText="1" indent="3"/>
    </xf>
    <xf numFmtId="164" fontId="113" fillId="0" borderId="18" xfId="7" applyNumberFormat="1" applyFont="1" applyBorder="1" applyAlignment="1">
      <alignment horizontal="left" wrapText="1" indent="2"/>
    </xf>
    <xf numFmtId="164" fontId="113" fillId="0" borderId="18" xfId="7" applyNumberFormat="1" applyFont="1" applyBorder="1" applyAlignment="1">
      <alignment horizontal="left" wrapText="1" indent="1"/>
    </xf>
    <xf numFmtId="164" fontId="113" fillId="0" borderId="21" xfId="7" applyNumberFormat="1" applyFont="1" applyBorder="1" applyAlignment="1">
      <alignment horizontal="left" wrapText="1" indent="1"/>
    </xf>
    <xf numFmtId="164" fontId="113" fillId="0" borderId="22" xfId="7" applyNumberFormat="1" applyFont="1" applyBorder="1"/>
    <xf numFmtId="164" fontId="113" fillId="0" borderId="23" xfId="7" applyNumberFormat="1" applyFont="1" applyBorder="1"/>
    <xf numFmtId="164" fontId="113" fillId="0" borderId="25" xfId="7" applyNumberFormat="1" applyFont="1" applyBorder="1"/>
    <xf numFmtId="164" fontId="134" fillId="0" borderId="0" xfId="0" applyNumberFormat="1" applyFont="1"/>
    <xf numFmtId="14" fontId="2" fillId="0" borderId="0" xfId="0" applyNumberFormat="1" applyFont="1" applyAlignment="1">
      <alignment horizontal="lef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85" fillId="0" borderId="0" xfId="0" applyFont="1" applyAlignment="1">
      <alignment horizontal="center"/>
    </xf>
    <xf numFmtId="0" fontId="2" fillId="0" borderId="15" xfId="0" applyFont="1" applyBorder="1" applyAlignment="1">
      <alignment horizontal="center" vertical="center" wrapText="1"/>
    </xf>
    <xf numFmtId="164" fontId="104" fillId="36" borderId="22" xfId="7" applyNumberFormat="1" applyFont="1" applyFill="1" applyBorder="1" applyAlignment="1">
      <alignment vertical="center" wrapText="1"/>
    </xf>
    <xf numFmtId="164" fontId="104" fillId="36" borderId="24" xfId="7" applyNumberFormat="1" applyFont="1" applyFill="1" applyBorder="1" applyAlignment="1">
      <alignment vertical="center" wrapText="1"/>
    </xf>
    <xf numFmtId="164" fontId="104" fillId="36" borderId="38" xfId="7" applyNumberFormat="1" applyFont="1" applyFill="1" applyBorder="1" applyAlignment="1">
      <alignment vertical="center" wrapText="1"/>
    </xf>
    <xf numFmtId="164" fontId="84" fillId="0" borderId="0" xfId="0" applyNumberFormat="1" applyFont="1"/>
    <xf numFmtId="164" fontId="84" fillId="0" borderId="18" xfId="7" applyNumberFormat="1" applyFont="1" applyBorder="1"/>
    <xf numFmtId="164" fontId="84" fillId="36" borderId="52" xfId="7" applyNumberFormat="1" applyFont="1" applyFill="1" applyBorder="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4" fontId="114" fillId="0" borderId="0" xfId="0" applyNumberFormat="1" applyFont="1" applyAlignment="1">
      <alignment horizontal="left"/>
    </xf>
    <xf numFmtId="164" fontId="114" fillId="0" borderId="0" xfId="0" applyNumberFormat="1" applyFont="1"/>
    <xf numFmtId="164" fontId="118" fillId="0" borderId="0" xfId="0" applyNumberFormat="1" applyFont="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164" fontId="0" fillId="0" borderId="130" xfId="7" applyNumberFormat="1" applyFont="1"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164" fontId="123" fillId="0" borderId="16" xfId="7" applyNumberFormat="1" applyFont="1" applyBorder="1" applyAlignment="1">
      <alignment horizontal="center" vertical="center"/>
    </xf>
    <xf numFmtId="164" fontId="123" fillId="0" borderId="17" xfId="7" applyNumberFormat="1" applyFont="1" applyBorder="1" applyAlignment="1">
      <alignment horizontal="center" vertic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164" fontId="0" fillId="0" borderId="118"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Font="1" applyBorder="1" applyAlignment="1">
      <alignment horizontal="left" vertical="center" wrapText="1"/>
    </xf>
    <xf numFmtId="0" fontId="116" fillId="0" borderId="105"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3" xfId="0" applyFont="1" applyBorder="1" applyAlignment="1">
      <alignment horizontal="left" vertical="center" wrapText="1"/>
    </xf>
    <xf numFmtId="0" fontId="117" fillId="0" borderId="106" xfId="0" applyFont="1" applyBorder="1" applyAlignment="1">
      <alignment horizontal="center" vertical="center" wrapText="1"/>
    </xf>
    <xf numFmtId="0" fontId="117" fillId="0" borderId="107"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11"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Border="1" applyAlignment="1">
      <alignment horizontal="center" vertical="center"/>
    </xf>
    <xf numFmtId="0" fontId="121" fillId="0" borderId="106" xfId="0" applyFont="1" applyBorder="1" applyAlignment="1">
      <alignment horizontal="center" vertical="center"/>
    </xf>
    <xf numFmtId="0" fontId="121" fillId="0" borderId="108"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7" xfId="0" applyFont="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Border="1" applyAlignment="1">
      <alignment horizontal="center" vertical="center" wrapText="1"/>
    </xf>
    <xf numFmtId="0" fontId="116" fillId="0" borderId="108"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9"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6" xfId="0" applyFont="1" applyBorder="1" applyAlignment="1">
      <alignment horizontal="left" vertical="top" wrapText="1"/>
    </xf>
    <xf numFmtId="0" fontId="116" fillId="0" borderId="103" xfId="0" applyFont="1" applyBorder="1" applyAlignment="1">
      <alignment horizontal="left" vertical="top" wrapText="1"/>
    </xf>
    <xf numFmtId="0" fontId="116" fillId="0" borderId="134" xfId="0" applyFont="1" applyBorder="1" applyAlignment="1">
      <alignment horizontal="left" vertical="top" wrapText="1"/>
    </xf>
    <xf numFmtId="0" fontId="116" fillId="0" borderId="87"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29" xfId="0" applyFont="1" applyBorder="1" applyAlignment="1">
      <alignment horizontal="center" vertical="top" wrapText="1"/>
    </xf>
    <xf numFmtId="0" fontId="113" fillId="0" borderId="130" xfId="0" applyFont="1" applyBorder="1" applyAlignment="1">
      <alignment horizontal="center" vertical="top" wrapText="1"/>
    </xf>
    <xf numFmtId="0" fontId="133" fillId="0" borderId="119" xfId="0" applyFont="1" applyBorder="1" applyAlignment="1">
      <alignment horizontal="left" vertical="top" wrapText="1"/>
    </xf>
    <xf numFmtId="0" fontId="133" fillId="0" borderId="120" xfId="0" applyFont="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141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0968" xr:uid="{F822EE59-5F01-4EF8-ABB9-1F8B17FDA8BA}"/>
    <cellStyle name="Calculation 2 10 3" xfId="724" xr:uid="{00000000-0005-0000-0000-0000C3020000}"/>
    <cellStyle name="Calculation 2 10 3 2" xfId="20969" xr:uid="{B16A71AD-7EC9-4655-BEB7-7CCD668F0474}"/>
    <cellStyle name="Calculation 2 10 4" xfId="725" xr:uid="{00000000-0005-0000-0000-0000C4020000}"/>
    <cellStyle name="Calculation 2 10 4 2" xfId="20970" xr:uid="{62ED513E-7C2C-4C30-A6F9-D3F46EDC9B86}"/>
    <cellStyle name="Calculation 2 10 5" xfId="726" xr:uid="{00000000-0005-0000-0000-0000C5020000}"/>
    <cellStyle name="Calculation 2 10 5 2" xfId="20971" xr:uid="{26A20622-87FC-4225-9A9F-F8F80CCB72F3}"/>
    <cellStyle name="Calculation 2 11" xfId="727" xr:uid="{00000000-0005-0000-0000-0000C6020000}"/>
    <cellStyle name="Calculation 2 11 2" xfId="728" xr:uid="{00000000-0005-0000-0000-0000C7020000}"/>
    <cellStyle name="Calculation 2 11 2 2" xfId="20973" xr:uid="{1D174F8C-9A6A-462D-8B34-D342083A161A}"/>
    <cellStyle name="Calculation 2 11 3" xfId="729" xr:uid="{00000000-0005-0000-0000-0000C8020000}"/>
    <cellStyle name="Calculation 2 11 3 2" xfId="20974" xr:uid="{8767299A-0341-4E3A-BBE2-53A4868DB5E6}"/>
    <cellStyle name="Calculation 2 11 4" xfId="730" xr:uid="{00000000-0005-0000-0000-0000C9020000}"/>
    <cellStyle name="Calculation 2 11 4 2" xfId="20975" xr:uid="{C6C8B8D5-8803-4E0D-A359-2DEBF6FB92F9}"/>
    <cellStyle name="Calculation 2 11 5" xfId="731" xr:uid="{00000000-0005-0000-0000-0000CA020000}"/>
    <cellStyle name="Calculation 2 11 5 2" xfId="20976" xr:uid="{68DFD119-0A38-4503-B8EB-9E09317AA116}"/>
    <cellStyle name="Calculation 2 11 6" xfId="20972" xr:uid="{213BA358-EDC4-44E2-BDC1-AD6C62037E67}"/>
    <cellStyle name="Calculation 2 12" xfId="732" xr:uid="{00000000-0005-0000-0000-0000CB020000}"/>
    <cellStyle name="Calculation 2 12 2" xfId="733" xr:uid="{00000000-0005-0000-0000-0000CC020000}"/>
    <cellStyle name="Calculation 2 12 2 2" xfId="20978" xr:uid="{2DF2B388-356F-4DA9-8F73-344A93EC5A64}"/>
    <cellStyle name="Calculation 2 12 3" xfId="734" xr:uid="{00000000-0005-0000-0000-0000CD020000}"/>
    <cellStyle name="Calculation 2 12 3 2" xfId="20979" xr:uid="{B66EDA01-5925-41F7-BA7B-E08AB87C91F7}"/>
    <cellStyle name="Calculation 2 12 4" xfId="735" xr:uid="{00000000-0005-0000-0000-0000CE020000}"/>
    <cellStyle name="Calculation 2 12 4 2" xfId="20980" xr:uid="{920332E4-F8A6-4C04-8C21-2D7C48B59A64}"/>
    <cellStyle name="Calculation 2 12 5" xfId="736" xr:uid="{00000000-0005-0000-0000-0000CF020000}"/>
    <cellStyle name="Calculation 2 12 5 2" xfId="20981" xr:uid="{08D761FA-F08D-4203-8B16-685FFD7A338D}"/>
    <cellStyle name="Calculation 2 12 6" xfId="20977" xr:uid="{60E15397-4EA9-49F4-8794-DD137792875B}"/>
    <cellStyle name="Calculation 2 13" xfId="737" xr:uid="{00000000-0005-0000-0000-0000D0020000}"/>
    <cellStyle name="Calculation 2 13 2" xfId="738" xr:uid="{00000000-0005-0000-0000-0000D1020000}"/>
    <cellStyle name="Calculation 2 13 2 2" xfId="20983" xr:uid="{6EAAA1EB-E3C1-4D85-9B51-EAF016EFAD34}"/>
    <cellStyle name="Calculation 2 13 3" xfId="739" xr:uid="{00000000-0005-0000-0000-0000D2020000}"/>
    <cellStyle name="Calculation 2 13 3 2" xfId="20984" xr:uid="{5778CB18-5287-4883-8462-167DC1434E45}"/>
    <cellStyle name="Calculation 2 13 4" xfId="740" xr:uid="{00000000-0005-0000-0000-0000D3020000}"/>
    <cellStyle name="Calculation 2 13 4 2" xfId="20985" xr:uid="{8EF6BA73-DC02-48DF-BF30-DDB3ACA2FB66}"/>
    <cellStyle name="Calculation 2 13 5" xfId="20982" xr:uid="{F5703AF8-EB75-48AB-9E9B-F51A6A3F29AE}"/>
    <cellStyle name="Calculation 2 14" xfId="741" xr:uid="{00000000-0005-0000-0000-0000D4020000}"/>
    <cellStyle name="Calculation 2 14 2" xfId="20986" xr:uid="{5B4F51B8-6FF8-4E1B-8DA7-09436EC354CB}"/>
    <cellStyle name="Calculation 2 15" xfId="742" xr:uid="{00000000-0005-0000-0000-0000D5020000}"/>
    <cellStyle name="Calculation 2 15 2" xfId="20987" xr:uid="{826B7DD7-1ED9-4D73-AD16-B15B85D08D89}"/>
    <cellStyle name="Calculation 2 16" xfId="743" xr:uid="{00000000-0005-0000-0000-0000D6020000}"/>
    <cellStyle name="Calculation 2 16 2" xfId="20988" xr:uid="{1D5440A6-E0F7-41BA-B7F4-47594C82B98F}"/>
    <cellStyle name="Calculation 2 17" xfId="20967" xr:uid="{FDCC88FB-6A2D-4CF3-B417-768B6D2F2F2B}"/>
    <cellStyle name="Calculation 2 2" xfId="744" xr:uid="{00000000-0005-0000-0000-0000D7020000}"/>
    <cellStyle name="Calculation 2 2 10" xfId="20989" xr:uid="{A3ED6A2A-5301-426C-9499-88919776AFBE}"/>
    <cellStyle name="Calculation 2 2 2" xfId="745" xr:uid="{00000000-0005-0000-0000-0000D8020000}"/>
    <cellStyle name="Calculation 2 2 2 2" xfId="746" xr:uid="{00000000-0005-0000-0000-0000D9020000}"/>
    <cellStyle name="Calculation 2 2 2 2 2" xfId="20991" xr:uid="{D19B8C40-C999-4090-8763-DCB8D6125F82}"/>
    <cellStyle name="Calculation 2 2 2 3" xfId="747" xr:uid="{00000000-0005-0000-0000-0000DA020000}"/>
    <cellStyle name="Calculation 2 2 2 3 2" xfId="20992" xr:uid="{54CBE5DC-2417-4603-AAA4-229BF2FF32DB}"/>
    <cellStyle name="Calculation 2 2 2 4" xfId="748" xr:uid="{00000000-0005-0000-0000-0000DB020000}"/>
    <cellStyle name="Calculation 2 2 2 4 2" xfId="20993" xr:uid="{ACEF7F37-74D0-41CC-8CB0-B217017BB9BE}"/>
    <cellStyle name="Calculation 2 2 2 5" xfId="20990" xr:uid="{1815BD49-5865-4D2B-8AA3-59918CB5ACB1}"/>
    <cellStyle name="Calculation 2 2 3" xfId="749" xr:uid="{00000000-0005-0000-0000-0000DC020000}"/>
    <cellStyle name="Calculation 2 2 3 2" xfId="750" xr:uid="{00000000-0005-0000-0000-0000DD020000}"/>
    <cellStyle name="Calculation 2 2 3 2 2" xfId="20995" xr:uid="{113D7D92-97E4-4053-B25E-83244C43A6A4}"/>
    <cellStyle name="Calculation 2 2 3 3" xfId="751" xr:uid="{00000000-0005-0000-0000-0000DE020000}"/>
    <cellStyle name="Calculation 2 2 3 3 2" xfId="20996" xr:uid="{CF12E34F-7406-4051-8089-480C47FE2C0F}"/>
    <cellStyle name="Calculation 2 2 3 4" xfId="752" xr:uid="{00000000-0005-0000-0000-0000DF020000}"/>
    <cellStyle name="Calculation 2 2 3 4 2" xfId="20997" xr:uid="{F502BC16-0906-44CB-A369-F1A716239486}"/>
    <cellStyle name="Calculation 2 2 3 5" xfId="20994" xr:uid="{E4D4A9D9-3A56-4BB7-B7AE-79C18649CF14}"/>
    <cellStyle name="Calculation 2 2 4" xfId="753" xr:uid="{00000000-0005-0000-0000-0000E0020000}"/>
    <cellStyle name="Calculation 2 2 4 2" xfId="754" xr:uid="{00000000-0005-0000-0000-0000E1020000}"/>
    <cellStyle name="Calculation 2 2 4 2 2" xfId="20999" xr:uid="{16FEF499-2C79-4222-968A-A8C327FDBE9B}"/>
    <cellStyle name="Calculation 2 2 4 3" xfId="755" xr:uid="{00000000-0005-0000-0000-0000E2020000}"/>
    <cellStyle name="Calculation 2 2 4 3 2" xfId="21000" xr:uid="{F84CBAA5-D913-4694-A0C9-025D962F517A}"/>
    <cellStyle name="Calculation 2 2 4 4" xfId="756" xr:uid="{00000000-0005-0000-0000-0000E3020000}"/>
    <cellStyle name="Calculation 2 2 4 4 2" xfId="21001" xr:uid="{84937B63-8BD6-4300-83AD-C85B89C4676A}"/>
    <cellStyle name="Calculation 2 2 4 5" xfId="20998" xr:uid="{10F50CD7-4ABF-497D-BC37-C560DEB4E851}"/>
    <cellStyle name="Calculation 2 2 5" xfId="757" xr:uid="{00000000-0005-0000-0000-0000E4020000}"/>
    <cellStyle name="Calculation 2 2 5 2" xfId="758" xr:uid="{00000000-0005-0000-0000-0000E5020000}"/>
    <cellStyle name="Calculation 2 2 5 2 2" xfId="21003" xr:uid="{D570CDB8-CE01-46E1-9A0E-DFABB2C81E78}"/>
    <cellStyle name="Calculation 2 2 5 3" xfId="759" xr:uid="{00000000-0005-0000-0000-0000E6020000}"/>
    <cellStyle name="Calculation 2 2 5 3 2" xfId="21004" xr:uid="{7F57F097-00CA-496A-9184-B5A8B4099C6F}"/>
    <cellStyle name="Calculation 2 2 5 4" xfId="760" xr:uid="{00000000-0005-0000-0000-0000E7020000}"/>
    <cellStyle name="Calculation 2 2 5 4 2" xfId="21005" xr:uid="{B13BD10A-89FE-4104-BAFB-CC5516DF0FDD}"/>
    <cellStyle name="Calculation 2 2 5 5" xfId="21002" xr:uid="{9A1771BC-9410-4542-963B-6228CC9117FD}"/>
    <cellStyle name="Calculation 2 2 6" xfId="761" xr:uid="{00000000-0005-0000-0000-0000E8020000}"/>
    <cellStyle name="Calculation 2 2 6 2" xfId="21006" xr:uid="{71FBDCFB-9759-45AD-B0CC-D48AC2312AB8}"/>
    <cellStyle name="Calculation 2 2 7" xfId="762" xr:uid="{00000000-0005-0000-0000-0000E9020000}"/>
    <cellStyle name="Calculation 2 2 7 2" xfId="21007" xr:uid="{DC7E8D86-DBB3-4E7D-82A7-98CACF68A6F5}"/>
    <cellStyle name="Calculation 2 2 8" xfId="763" xr:uid="{00000000-0005-0000-0000-0000EA020000}"/>
    <cellStyle name="Calculation 2 2 8 2" xfId="21008" xr:uid="{65AE0361-C95C-4A15-B91F-D93813543EFA}"/>
    <cellStyle name="Calculation 2 2 9" xfId="764" xr:uid="{00000000-0005-0000-0000-0000EB020000}"/>
    <cellStyle name="Calculation 2 2 9 2" xfId="21009" xr:uid="{F92DDFA9-03A9-4057-A1AB-82361C6E9B4D}"/>
    <cellStyle name="Calculation 2 3" xfId="765" xr:uid="{00000000-0005-0000-0000-0000EC020000}"/>
    <cellStyle name="Calculation 2 3 2" xfId="766" xr:uid="{00000000-0005-0000-0000-0000ED020000}"/>
    <cellStyle name="Calculation 2 3 2 2" xfId="21010" xr:uid="{E5335F99-F839-471C-AB3C-A3708551B3ED}"/>
    <cellStyle name="Calculation 2 3 3" xfId="767" xr:uid="{00000000-0005-0000-0000-0000EE020000}"/>
    <cellStyle name="Calculation 2 3 3 2" xfId="21011" xr:uid="{5F877E7B-0F56-4978-A65D-C374F357B721}"/>
    <cellStyle name="Calculation 2 3 4" xfId="768" xr:uid="{00000000-0005-0000-0000-0000EF020000}"/>
    <cellStyle name="Calculation 2 3 4 2" xfId="21012" xr:uid="{768D5526-50C0-47A5-BBCE-4B438CC87513}"/>
    <cellStyle name="Calculation 2 3 5" xfId="769" xr:uid="{00000000-0005-0000-0000-0000F0020000}"/>
    <cellStyle name="Calculation 2 3 5 2" xfId="21013" xr:uid="{F9624D9D-DD17-48AE-AE59-487EC6FB2B40}"/>
    <cellStyle name="Calculation 2 4" xfId="770" xr:uid="{00000000-0005-0000-0000-0000F1020000}"/>
    <cellStyle name="Calculation 2 4 2" xfId="771" xr:uid="{00000000-0005-0000-0000-0000F2020000}"/>
    <cellStyle name="Calculation 2 4 2 2" xfId="21014" xr:uid="{064D93D3-18D5-4669-B4F7-93F4F267F610}"/>
    <cellStyle name="Calculation 2 4 3" xfId="772" xr:uid="{00000000-0005-0000-0000-0000F3020000}"/>
    <cellStyle name="Calculation 2 4 3 2" xfId="21015" xr:uid="{2B2B71BE-AFF5-42A4-A334-D1A291031482}"/>
    <cellStyle name="Calculation 2 4 4" xfId="773" xr:uid="{00000000-0005-0000-0000-0000F4020000}"/>
    <cellStyle name="Calculation 2 4 4 2" xfId="21016" xr:uid="{6BE045D0-B95F-45B5-A6F2-BFD66A9E4619}"/>
    <cellStyle name="Calculation 2 4 5" xfId="774" xr:uid="{00000000-0005-0000-0000-0000F5020000}"/>
    <cellStyle name="Calculation 2 4 5 2" xfId="21017" xr:uid="{15CF0484-5100-409F-A2AD-0A88C940F0AB}"/>
    <cellStyle name="Calculation 2 5" xfId="775" xr:uid="{00000000-0005-0000-0000-0000F6020000}"/>
    <cellStyle name="Calculation 2 5 2" xfId="776" xr:uid="{00000000-0005-0000-0000-0000F7020000}"/>
    <cellStyle name="Calculation 2 5 2 2" xfId="21018" xr:uid="{781EB9BD-4D78-479D-9A45-9BAD9478AA36}"/>
    <cellStyle name="Calculation 2 5 3" xfId="777" xr:uid="{00000000-0005-0000-0000-0000F8020000}"/>
    <cellStyle name="Calculation 2 5 3 2" xfId="21019" xr:uid="{74FA24B8-1B56-4354-9C07-33DD872B90C2}"/>
    <cellStyle name="Calculation 2 5 4" xfId="778" xr:uid="{00000000-0005-0000-0000-0000F9020000}"/>
    <cellStyle name="Calculation 2 5 4 2" xfId="21020" xr:uid="{B4C726B2-9B51-45C7-88AA-479AC671D6A7}"/>
    <cellStyle name="Calculation 2 5 5" xfId="779" xr:uid="{00000000-0005-0000-0000-0000FA020000}"/>
    <cellStyle name="Calculation 2 5 5 2" xfId="21021" xr:uid="{83444793-E7E9-4B36-BECE-C5EBCD00A9E0}"/>
    <cellStyle name="Calculation 2 6" xfId="780" xr:uid="{00000000-0005-0000-0000-0000FB020000}"/>
    <cellStyle name="Calculation 2 6 2" xfId="781" xr:uid="{00000000-0005-0000-0000-0000FC020000}"/>
    <cellStyle name="Calculation 2 6 2 2" xfId="21022" xr:uid="{F7AD050A-4BD2-4776-A847-8445E6AD2C50}"/>
    <cellStyle name="Calculation 2 6 3" xfId="782" xr:uid="{00000000-0005-0000-0000-0000FD020000}"/>
    <cellStyle name="Calculation 2 6 3 2" xfId="21023" xr:uid="{0EF30EAF-660E-4896-99A2-A18CE0185BE4}"/>
    <cellStyle name="Calculation 2 6 4" xfId="783" xr:uid="{00000000-0005-0000-0000-0000FE020000}"/>
    <cellStyle name="Calculation 2 6 4 2" xfId="21024" xr:uid="{E05D465E-5E13-4E0D-9B00-FDE4C707F005}"/>
    <cellStyle name="Calculation 2 6 5" xfId="784" xr:uid="{00000000-0005-0000-0000-0000FF020000}"/>
    <cellStyle name="Calculation 2 6 5 2" xfId="21025" xr:uid="{789CF18B-191A-4978-8C16-17CCA0E89965}"/>
    <cellStyle name="Calculation 2 7" xfId="785" xr:uid="{00000000-0005-0000-0000-000000030000}"/>
    <cellStyle name="Calculation 2 7 2" xfId="786" xr:uid="{00000000-0005-0000-0000-000001030000}"/>
    <cellStyle name="Calculation 2 7 2 2" xfId="21026" xr:uid="{4A55F41E-1319-45F8-8D3E-95FDB6BA0766}"/>
    <cellStyle name="Calculation 2 7 3" xfId="787" xr:uid="{00000000-0005-0000-0000-000002030000}"/>
    <cellStyle name="Calculation 2 7 3 2" xfId="21027" xr:uid="{4F0AA99B-1501-4E0A-83A6-5E8EB01104DA}"/>
    <cellStyle name="Calculation 2 7 4" xfId="788" xr:uid="{00000000-0005-0000-0000-000003030000}"/>
    <cellStyle name="Calculation 2 7 4 2" xfId="21028" xr:uid="{8A8CE60C-DF82-43DC-82BE-E1E8C85582F5}"/>
    <cellStyle name="Calculation 2 7 5" xfId="789" xr:uid="{00000000-0005-0000-0000-000004030000}"/>
    <cellStyle name="Calculation 2 7 5 2" xfId="21029" xr:uid="{795FA171-D2D1-475E-A51E-BCB57B4C00B1}"/>
    <cellStyle name="Calculation 2 8" xfId="790" xr:uid="{00000000-0005-0000-0000-000005030000}"/>
    <cellStyle name="Calculation 2 8 2" xfId="791" xr:uid="{00000000-0005-0000-0000-000006030000}"/>
    <cellStyle name="Calculation 2 8 2 2" xfId="21030" xr:uid="{569AE3E7-5A54-44B7-B6E4-6890D4D59295}"/>
    <cellStyle name="Calculation 2 8 3" xfId="792" xr:uid="{00000000-0005-0000-0000-000007030000}"/>
    <cellStyle name="Calculation 2 8 3 2" xfId="21031" xr:uid="{9E180BEF-65D1-45C8-B558-0D680462D65D}"/>
    <cellStyle name="Calculation 2 8 4" xfId="793" xr:uid="{00000000-0005-0000-0000-000008030000}"/>
    <cellStyle name="Calculation 2 8 4 2" xfId="21032" xr:uid="{5BDDB2E6-DC73-412A-A936-5B9C04473D13}"/>
    <cellStyle name="Calculation 2 8 5" xfId="794" xr:uid="{00000000-0005-0000-0000-000009030000}"/>
    <cellStyle name="Calculation 2 8 5 2" xfId="21033" xr:uid="{42CA06D4-F77C-4C1B-8E09-76DBB14AD1B9}"/>
    <cellStyle name="Calculation 2 9" xfId="795" xr:uid="{00000000-0005-0000-0000-00000A030000}"/>
    <cellStyle name="Calculation 2 9 2" xfId="796" xr:uid="{00000000-0005-0000-0000-00000B030000}"/>
    <cellStyle name="Calculation 2 9 2 2" xfId="21034" xr:uid="{389A1A65-0F00-41C7-859A-135DAEFFB0C6}"/>
    <cellStyle name="Calculation 2 9 3" xfId="797" xr:uid="{00000000-0005-0000-0000-00000C030000}"/>
    <cellStyle name="Calculation 2 9 3 2" xfId="21035" xr:uid="{1937B67D-346E-422D-8AA5-C0A589B187A4}"/>
    <cellStyle name="Calculation 2 9 4" xfId="798" xr:uid="{00000000-0005-0000-0000-00000D030000}"/>
    <cellStyle name="Calculation 2 9 4 2" xfId="21036" xr:uid="{5E96D8AA-82C4-4F4A-AF6F-E491633B2F41}"/>
    <cellStyle name="Calculation 2 9 5" xfId="799" xr:uid="{00000000-0005-0000-0000-00000E030000}"/>
    <cellStyle name="Calculation 2 9 5 2" xfId="21037" xr:uid="{DEE66DE9-8AEF-4240-93D9-CC2209116DFF}"/>
    <cellStyle name="Calculation 3" xfId="800" xr:uid="{00000000-0005-0000-0000-00000F030000}"/>
    <cellStyle name="Calculation 3 2" xfId="801" xr:uid="{00000000-0005-0000-0000-000010030000}"/>
    <cellStyle name="Calculation 3 2 2" xfId="21039" xr:uid="{841F43EF-3039-4AF2-B22F-6657374B44E0}"/>
    <cellStyle name="Calculation 3 3" xfId="802" xr:uid="{00000000-0005-0000-0000-000011030000}"/>
    <cellStyle name="Calculation 3 3 2" xfId="21040" xr:uid="{813EC047-2A98-4EBD-A122-13C3992F64DC}"/>
    <cellStyle name="Calculation 3 4" xfId="21038" xr:uid="{2479B498-90A4-479A-A2E5-7BD0E4C802F7}"/>
    <cellStyle name="Calculation 4" xfId="803" xr:uid="{00000000-0005-0000-0000-000012030000}"/>
    <cellStyle name="Calculation 4 2" xfId="804" xr:uid="{00000000-0005-0000-0000-000013030000}"/>
    <cellStyle name="Calculation 4 2 2" xfId="21042" xr:uid="{CB1C0666-218B-4D7D-9406-96159C20E4FE}"/>
    <cellStyle name="Calculation 4 3" xfId="805" xr:uid="{00000000-0005-0000-0000-000014030000}"/>
    <cellStyle name="Calculation 4 3 2" xfId="21043" xr:uid="{5DAB2273-B0AA-421B-B6B6-3744167FB39E}"/>
    <cellStyle name="Calculation 4 4" xfId="21041" xr:uid="{A17D0A82-5821-499E-82A7-E9BFBD2D567A}"/>
    <cellStyle name="Calculation 5" xfId="806" xr:uid="{00000000-0005-0000-0000-000015030000}"/>
    <cellStyle name="Calculation 5 2" xfId="807" xr:uid="{00000000-0005-0000-0000-000016030000}"/>
    <cellStyle name="Calculation 5 2 2" xfId="21045" xr:uid="{B1908EBC-5A97-4035-8A69-2EA9CDCE0391}"/>
    <cellStyle name="Calculation 5 3" xfId="808" xr:uid="{00000000-0005-0000-0000-000017030000}"/>
    <cellStyle name="Calculation 5 3 2" xfId="21046" xr:uid="{D958965A-B17D-41A9-9BF8-5F8D9596168B}"/>
    <cellStyle name="Calculation 5 4" xfId="21044" xr:uid="{48D137A1-2C59-4F30-8C6C-D11F2DE23DAD}"/>
    <cellStyle name="Calculation 6" xfId="809" xr:uid="{00000000-0005-0000-0000-000018030000}"/>
    <cellStyle name="Calculation 6 2" xfId="810" xr:uid="{00000000-0005-0000-0000-000019030000}"/>
    <cellStyle name="Calculation 6 2 2" xfId="21048" xr:uid="{F7BA1EBD-FA54-4378-996E-CCAC23111872}"/>
    <cellStyle name="Calculation 6 3" xfId="811" xr:uid="{00000000-0005-0000-0000-00001A030000}"/>
    <cellStyle name="Calculation 6 3 2" xfId="21049" xr:uid="{984EF7C1-14CB-4009-9395-0E1AF4AAD085}"/>
    <cellStyle name="Calculation 6 4" xfId="21047" xr:uid="{BEFEE085-4B14-437F-80A9-A8D509D4011D}"/>
    <cellStyle name="Calculation 7" xfId="812" xr:uid="{00000000-0005-0000-0000-00001B030000}"/>
    <cellStyle name="Calculation 7 2" xfId="21050" xr:uid="{08A837AF-1249-491A-9A94-B8BB5FF7151C}"/>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10 2" xfId="21052" xr:uid="{28F059C7-A7DC-4762-9529-233D18667867}"/>
    <cellStyle name="Gia's 11" xfId="21051" xr:uid="{2F8D5FC6-6105-4C92-87B1-45FAB01CE1CC}"/>
    <cellStyle name="Gia's 2" xfId="9187" xr:uid="{00000000-0005-0000-0000-0000D7230000}"/>
    <cellStyle name="Gia's 2 2" xfId="21053" xr:uid="{5098C529-58A2-46C9-A21A-CB43FD14A361}"/>
    <cellStyle name="Gia's 3" xfId="9188" xr:uid="{00000000-0005-0000-0000-0000D8230000}"/>
    <cellStyle name="Gia's 3 2" xfId="21054" xr:uid="{5742F89A-882C-41B9-9E53-3494A69E2BFD}"/>
    <cellStyle name="Gia's 4" xfId="9189" xr:uid="{00000000-0005-0000-0000-0000D9230000}"/>
    <cellStyle name="Gia's 4 2" xfId="21055" xr:uid="{9003A316-9C79-4B86-9595-CC91FEDB52D4}"/>
    <cellStyle name="Gia's 5" xfId="9190" xr:uid="{00000000-0005-0000-0000-0000DA230000}"/>
    <cellStyle name="Gia's 5 2" xfId="21056" xr:uid="{D5824689-FB96-4A1B-8771-8F67A0189E29}"/>
    <cellStyle name="Gia's 6" xfId="9191" xr:uid="{00000000-0005-0000-0000-0000DB230000}"/>
    <cellStyle name="Gia's 6 2" xfId="21057" xr:uid="{3EDE39C2-86D6-4EEF-A90C-63A51EF629D1}"/>
    <cellStyle name="Gia's 7" xfId="9192" xr:uid="{00000000-0005-0000-0000-0000DC230000}"/>
    <cellStyle name="Gia's 7 2" xfId="21058" xr:uid="{101143B9-7CB5-4BEC-B0AF-DA0FEAC83815}"/>
    <cellStyle name="Gia's 8" xfId="9193" xr:uid="{00000000-0005-0000-0000-0000DD230000}"/>
    <cellStyle name="Gia's 8 2" xfId="21059" xr:uid="{D3D6B9A5-7A57-4CA1-A378-6AB168C5C72F}"/>
    <cellStyle name="Gia's 9" xfId="9194" xr:uid="{00000000-0005-0000-0000-0000DE230000}"/>
    <cellStyle name="Gia's 9 2" xfId="21060" xr:uid="{19CD15B2-B17D-4574-8444-043B8FB77763}"/>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greyed 2" xfId="21061" xr:uid="{62246DA3-EDF5-47A3-949F-D6BBDAA1A76C}"/>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2 2" xfId="21063" xr:uid="{D39CBA0F-0EB9-4811-913B-C61871010981}"/>
    <cellStyle name="Header2 3" xfId="9227" xr:uid="{00000000-0005-0000-0000-0000FF230000}"/>
    <cellStyle name="Header2 3 2" xfId="21064" xr:uid="{18C28305-F4F3-4BD6-ABC1-A0BAC60A2B2F}"/>
    <cellStyle name="Header2 4" xfId="21062" xr:uid="{0FDC094F-8693-4641-9929-2F4205BE169E}"/>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eadingTable 2" xfId="21065" xr:uid="{A64B8B0D-D64B-4EA9-8169-A7057D4FF8FD}"/>
    <cellStyle name="highlightExposure" xfId="9323" xr:uid="{00000000-0005-0000-0000-00005F240000}"/>
    <cellStyle name="highlightExposure 2" xfId="21066" xr:uid="{7F470C53-CB99-4DFA-90A3-1F044BD79E6E}"/>
    <cellStyle name="highlightPercentage" xfId="9324" xr:uid="{00000000-0005-0000-0000-000060240000}"/>
    <cellStyle name="highlightPercentage 2" xfId="21067" xr:uid="{66829BF6-6CF1-4E70-ABF2-D828F27088C0}"/>
    <cellStyle name="highlightText" xfId="9325" xr:uid="{00000000-0005-0000-0000-000061240000}"/>
    <cellStyle name="highlightText 2" xfId="21068" xr:uid="{9DCC78C2-8A3A-43A0-8B35-0CD6D1C271F6}"/>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2 2" xfId="21070" xr:uid="{2E48F7D7-43C5-4261-8641-41156381539A}"/>
    <cellStyle name="Input 2 10 3" xfId="9336" xr:uid="{00000000-0005-0000-0000-00006D240000}"/>
    <cellStyle name="Input 2 10 3 2" xfId="21071" xr:uid="{17D202AF-381A-4CD4-AC8C-0F9C33A36423}"/>
    <cellStyle name="Input 2 10 4" xfId="9337" xr:uid="{00000000-0005-0000-0000-00006E240000}"/>
    <cellStyle name="Input 2 10 4 2" xfId="21072" xr:uid="{D6E240B4-E26C-400A-A4D6-88215598FE06}"/>
    <cellStyle name="Input 2 10 5" xfId="9338" xr:uid="{00000000-0005-0000-0000-00006F240000}"/>
    <cellStyle name="Input 2 10 5 2" xfId="21073" xr:uid="{1C69EC19-6D41-4B17-A4E1-69D64B274692}"/>
    <cellStyle name="Input 2 11" xfId="9339" xr:uid="{00000000-0005-0000-0000-000070240000}"/>
    <cellStyle name="Input 2 11 2" xfId="9340" xr:uid="{00000000-0005-0000-0000-000071240000}"/>
    <cellStyle name="Input 2 11 2 2" xfId="21075" xr:uid="{861BC2CA-F12C-42E5-8629-897B8E6F4C04}"/>
    <cellStyle name="Input 2 11 3" xfId="9341" xr:uid="{00000000-0005-0000-0000-000072240000}"/>
    <cellStyle name="Input 2 11 3 2" xfId="21076" xr:uid="{C70FA093-A863-4A7E-AC01-804F6DC52BBE}"/>
    <cellStyle name="Input 2 11 4" xfId="9342" xr:uid="{00000000-0005-0000-0000-000073240000}"/>
    <cellStyle name="Input 2 11 4 2" xfId="21077" xr:uid="{1C880B53-6079-41D7-A6CA-22FBDF9C0EA6}"/>
    <cellStyle name="Input 2 11 5" xfId="9343" xr:uid="{00000000-0005-0000-0000-000074240000}"/>
    <cellStyle name="Input 2 11 5 2" xfId="21078" xr:uid="{FD02F251-E3E4-4AF4-A1D1-C10F89008B4B}"/>
    <cellStyle name="Input 2 11 6" xfId="21074" xr:uid="{9278CA15-977E-42C3-B55D-072A419CAA6F}"/>
    <cellStyle name="Input 2 12" xfId="9344" xr:uid="{00000000-0005-0000-0000-000075240000}"/>
    <cellStyle name="Input 2 12 2" xfId="9345" xr:uid="{00000000-0005-0000-0000-000076240000}"/>
    <cellStyle name="Input 2 12 2 2" xfId="21080" xr:uid="{07C00DC4-1C1E-4557-9A0F-D814960023AA}"/>
    <cellStyle name="Input 2 12 3" xfId="9346" xr:uid="{00000000-0005-0000-0000-000077240000}"/>
    <cellStyle name="Input 2 12 3 2" xfId="21081" xr:uid="{4692A460-F5A1-461C-8B7E-A65B99E418D7}"/>
    <cellStyle name="Input 2 12 4" xfId="9347" xr:uid="{00000000-0005-0000-0000-000078240000}"/>
    <cellStyle name="Input 2 12 4 2" xfId="21082" xr:uid="{EA215F5D-57F9-4576-A569-3597CFAC4C80}"/>
    <cellStyle name="Input 2 12 5" xfId="9348" xr:uid="{00000000-0005-0000-0000-000079240000}"/>
    <cellStyle name="Input 2 12 5 2" xfId="21083" xr:uid="{B62AE546-05A4-4A23-8371-5DF0E7259646}"/>
    <cellStyle name="Input 2 12 6" xfId="21079" xr:uid="{461559F6-A001-4496-A6B6-3AE0F556F454}"/>
    <cellStyle name="Input 2 13" xfId="9349" xr:uid="{00000000-0005-0000-0000-00007A240000}"/>
    <cellStyle name="Input 2 13 2" xfId="9350" xr:uid="{00000000-0005-0000-0000-00007B240000}"/>
    <cellStyle name="Input 2 13 2 2" xfId="21085" xr:uid="{0C54742C-DFCF-4281-97A5-7AF8243643A2}"/>
    <cellStyle name="Input 2 13 3" xfId="9351" xr:uid="{00000000-0005-0000-0000-00007C240000}"/>
    <cellStyle name="Input 2 13 3 2" xfId="21086" xr:uid="{5A2CB75E-222E-4987-B5F6-8B84174B5CCA}"/>
    <cellStyle name="Input 2 13 4" xfId="9352" xr:uid="{00000000-0005-0000-0000-00007D240000}"/>
    <cellStyle name="Input 2 13 4 2" xfId="21087" xr:uid="{E8482FF2-DC3B-4F75-913D-378A6FBAD757}"/>
    <cellStyle name="Input 2 13 5" xfId="21084" xr:uid="{8664C09F-4139-41EA-B9B0-022BA8023490}"/>
    <cellStyle name="Input 2 14" xfId="9353" xr:uid="{00000000-0005-0000-0000-00007E240000}"/>
    <cellStyle name="Input 2 14 2" xfId="21088" xr:uid="{E76BD074-3E92-4841-818B-B6C94020CBD4}"/>
    <cellStyle name="Input 2 15" xfId="9354" xr:uid="{00000000-0005-0000-0000-00007F240000}"/>
    <cellStyle name="Input 2 15 2" xfId="21089" xr:uid="{C15430CC-BF72-44BA-B7E2-0B8BF3A81DD7}"/>
    <cellStyle name="Input 2 16" xfId="9355" xr:uid="{00000000-0005-0000-0000-000080240000}"/>
    <cellStyle name="Input 2 16 2" xfId="21090" xr:uid="{DA537898-CCC7-408B-A9CF-8635BEA3AF20}"/>
    <cellStyle name="Input 2 17" xfId="21069" xr:uid="{78EF2480-8D06-4623-B615-AA6A6A89744A}"/>
    <cellStyle name="Input 2 2" xfId="9356" xr:uid="{00000000-0005-0000-0000-000081240000}"/>
    <cellStyle name="Input 2 2 10" xfId="21091" xr:uid="{9CCC9A47-EBA5-45CA-82CD-4F7A0BB70626}"/>
    <cellStyle name="Input 2 2 2" xfId="9357" xr:uid="{00000000-0005-0000-0000-000082240000}"/>
    <cellStyle name="Input 2 2 2 2" xfId="9358" xr:uid="{00000000-0005-0000-0000-000083240000}"/>
    <cellStyle name="Input 2 2 2 2 2" xfId="21093" xr:uid="{8968037E-0435-495D-91A9-00B64AF6FAB8}"/>
    <cellStyle name="Input 2 2 2 3" xfId="9359" xr:uid="{00000000-0005-0000-0000-000084240000}"/>
    <cellStyle name="Input 2 2 2 3 2" xfId="21094" xr:uid="{0D16B73C-4608-452E-AA5D-30A3D400F6BD}"/>
    <cellStyle name="Input 2 2 2 4" xfId="9360" xr:uid="{00000000-0005-0000-0000-000085240000}"/>
    <cellStyle name="Input 2 2 2 4 2" xfId="21095" xr:uid="{450BDFA5-E68B-49A2-A53C-3EC0F3590C20}"/>
    <cellStyle name="Input 2 2 2 5" xfId="21092" xr:uid="{B1F49071-76F7-42AC-A87C-ABBF8CB5BDAA}"/>
    <cellStyle name="Input 2 2 3" xfId="9361" xr:uid="{00000000-0005-0000-0000-000086240000}"/>
    <cellStyle name="Input 2 2 3 2" xfId="9362" xr:uid="{00000000-0005-0000-0000-000087240000}"/>
    <cellStyle name="Input 2 2 3 2 2" xfId="21097" xr:uid="{4A3CEE65-A440-4CD5-88DF-562E088145FC}"/>
    <cellStyle name="Input 2 2 3 3" xfId="9363" xr:uid="{00000000-0005-0000-0000-000088240000}"/>
    <cellStyle name="Input 2 2 3 3 2" xfId="21098" xr:uid="{8FD4056E-5226-4887-BC80-4F78FE978E92}"/>
    <cellStyle name="Input 2 2 3 4" xfId="9364" xr:uid="{00000000-0005-0000-0000-000089240000}"/>
    <cellStyle name="Input 2 2 3 4 2" xfId="21099" xr:uid="{45507B0A-C376-4296-B416-8E42A372EB75}"/>
    <cellStyle name="Input 2 2 3 5" xfId="21096" xr:uid="{64B1DFED-910B-4DE0-8B39-E448254B533F}"/>
    <cellStyle name="Input 2 2 4" xfId="9365" xr:uid="{00000000-0005-0000-0000-00008A240000}"/>
    <cellStyle name="Input 2 2 4 2" xfId="9366" xr:uid="{00000000-0005-0000-0000-00008B240000}"/>
    <cellStyle name="Input 2 2 4 2 2" xfId="21101" xr:uid="{6BA6F6EC-FB61-4250-BE8F-7CBAF6F2B35F}"/>
    <cellStyle name="Input 2 2 4 3" xfId="9367" xr:uid="{00000000-0005-0000-0000-00008C240000}"/>
    <cellStyle name="Input 2 2 4 3 2" xfId="21102" xr:uid="{28C06D93-BB19-4687-A9D8-4683BFD0609D}"/>
    <cellStyle name="Input 2 2 4 4" xfId="9368" xr:uid="{00000000-0005-0000-0000-00008D240000}"/>
    <cellStyle name="Input 2 2 4 4 2" xfId="21103" xr:uid="{960867AE-E407-44D2-B99E-EC577BC1C498}"/>
    <cellStyle name="Input 2 2 4 5" xfId="21100" xr:uid="{2B1349D9-D394-4B27-B15E-F114C5D560C1}"/>
    <cellStyle name="Input 2 2 5" xfId="9369" xr:uid="{00000000-0005-0000-0000-00008E240000}"/>
    <cellStyle name="Input 2 2 5 2" xfId="9370" xr:uid="{00000000-0005-0000-0000-00008F240000}"/>
    <cellStyle name="Input 2 2 5 2 2" xfId="21105" xr:uid="{4E0028B2-263C-404C-ABE5-CB82C98C16E1}"/>
    <cellStyle name="Input 2 2 5 3" xfId="9371" xr:uid="{00000000-0005-0000-0000-000090240000}"/>
    <cellStyle name="Input 2 2 5 3 2" xfId="21106" xr:uid="{3971547A-84F1-4789-A79F-9E5376C5B6E6}"/>
    <cellStyle name="Input 2 2 5 4" xfId="9372" xr:uid="{00000000-0005-0000-0000-000091240000}"/>
    <cellStyle name="Input 2 2 5 4 2" xfId="21107" xr:uid="{3B186B8A-F068-4490-B682-77AE365F6EC2}"/>
    <cellStyle name="Input 2 2 5 5" xfId="21104" xr:uid="{ADEB5918-E747-4BE1-97F2-46D042B6EBDB}"/>
    <cellStyle name="Input 2 2 6" xfId="9373" xr:uid="{00000000-0005-0000-0000-000092240000}"/>
    <cellStyle name="Input 2 2 6 2" xfId="21108" xr:uid="{CA8EF1C2-D362-47B7-A54D-907423B63259}"/>
    <cellStyle name="Input 2 2 7" xfId="9374" xr:uid="{00000000-0005-0000-0000-000093240000}"/>
    <cellStyle name="Input 2 2 7 2" xfId="21109" xr:uid="{C7881A40-6603-4FA4-8F0C-29A59103C5BE}"/>
    <cellStyle name="Input 2 2 8" xfId="9375" xr:uid="{00000000-0005-0000-0000-000094240000}"/>
    <cellStyle name="Input 2 2 8 2" xfId="21110" xr:uid="{FCD2238F-789D-4B62-BAA4-E8EF39C912A1}"/>
    <cellStyle name="Input 2 2 9" xfId="9376" xr:uid="{00000000-0005-0000-0000-000095240000}"/>
    <cellStyle name="Input 2 2 9 2" xfId="21111" xr:uid="{9B4005AB-7C49-4493-B9FB-5AFD699ABE80}"/>
    <cellStyle name="Input 2 3" xfId="9377" xr:uid="{00000000-0005-0000-0000-000096240000}"/>
    <cellStyle name="Input 2 3 2" xfId="9378" xr:uid="{00000000-0005-0000-0000-000097240000}"/>
    <cellStyle name="Input 2 3 2 2" xfId="21112" xr:uid="{FE3F363F-5A7F-449F-BFDC-CB35A74B52AE}"/>
    <cellStyle name="Input 2 3 3" xfId="9379" xr:uid="{00000000-0005-0000-0000-000098240000}"/>
    <cellStyle name="Input 2 3 3 2" xfId="21113" xr:uid="{91FA4E64-832F-4119-A13B-82A258BA9560}"/>
    <cellStyle name="Input 2 3 4" xfId="9380" xr:uid="{00000000-0005-0000-0000-000099240000}"/>
    <cellStyle name="Input 2 3 4 2" xfId="21114" xr:uid="{719F4033-EAE4-46F0-99F7-3917D552ADF5}"/>
    <cellStyle name="Input 2 3 5" xfId="9381" xr:uid="{00000000-0005-0000-0000-00009A240000}"/>
    <cellStyle name="Input 2 3 5 2" xfId="21115" xr:uid="{6F8DBA39-9D98-4561-9F2F-B223ED41E430}"/>
    <cellStyle name="Input 2 4" xfId="9382" xr:uid="{00000000-0005-0000-0000-00009B240000}"/>
    <cellStyle name="Input 2 4 2" xfId="9383" xr:uid="{00000000-0005-0000-0000-00009C240000}"/>
    <cellStyle name="Input 2 4 2 2" xfId="21116" xr:uid="{3814A484-4DDF-4D88-9DD4-14E201A8E1B8}"/>
    <cellStyle name="Input 2 4 3" xfId="9384" xr:uid="{00000000-0005-0000-0000-00009D240000}"/>
    <cellStyle name="Input 2 4 3 2" xfId="21117" xr:uid="{BBDD7EE8-FD70-4DFE-9094-3D13B3975F5A}"/>
    <cellStyle name="Input 2 4 4" xfId="9385" xr:uid="{00000000-0005-0000-0000-00009E240000}"/>
    <cellStyle name="Input 2 4 4 2" xfId="21118" xr:uid="{EE29F9B9-A9AF-4B03-905D-E09C5A453B64}"/>
    <cellStyle name="Input 2 4 5" xfId="9386" xr:uid="{00000000-0005-0000-0000-00009F240000}"/>
    <cellStyle name="Input 2 4 5 2" xfId="21119" xr:uid="{DFB7E1AD-B9AB-4762-86F3-07434B2B8330}"/>
    <cellStyle name="Input 2 5" xfId="9387" xr:uid="{00000000-0005-0000-0000-0000A0240000}"/>
    <cellStyle name="Input 2 5 2" xfId="9388" xr:uid="{00000000-0005-0000-0000-0000A1240000}"/>
    <cellStyle name="Input 2 5 2 2" xfId="21120" xr:uid="{6946B5BF-D9D1-43EC-BC76-30A74F67515A}"/>
    <cellStyle name="Input 2 5 3" xfId="9389" xr:uid="{00000000-0005-0000-0000-0000A2240000}"/>
    <cellStyle name="Input 2 5 3 2" xfId="21121" xr:uid="{677E97B6-401B-43DE-AB92-01430DAAB60B}"/>
    <cellStyle name="Input 2 5 4" xfId="9390" xr:uid="{00000000-0005-0000-0000-0000A3240000}"/>
    <cellStyle name="Input 2 5 4 2" xfId="21122" xr:uid="{37A12337-EF6D-4952-8A57-4D876784FCF6}"/>
    <cellStyle name="Input 2 5 5" xfId="9391" xr:uid="{00000000-0005-0000-0000-0000A4240000}"/>
    <cellStyle name="Input 2 5 5 2" xfId="21123" xr:uid="{CE8E6DBD-B7BD-4BB5-8E9A-A9AACFDFEE41}"/>
    <cellStyle name="Input 2 6" xfId="9392" xr:uid="{00000000-0005-0000-0000-0000A5240000}"/>
    <cellStyle name="Input 2 6 2" xfId="9393" xr:uid="{00000000-0005-0000-0000-0000A6240000}"/>
    <cellStyle name="Input 2 6 2 2" xfId="21124" xr:uid="{4E2B51BA-19C7-4FC4-AB03-F40DE9A73FE3}"/>
    <cellStyle name="Input 2 6 3" xfId="9394" xr:uid="{00000000-0005-0000-0000-0000A7240000}"/>
    <cellStyle name="Input 2 6 3 2" xfId="21125" xr:uid="{D5016930-38A6-4D14-8E85-435BB205DA27}"/>
    <cellStyle name="Input 2 6 4" xfId="9395" xr:uid="{00000000-0005-0000-0000-0000A8240000}"/>
    <cellStyle name="Input 2 6 4 2" xfId="21126" xr:uid="{BD3C3BD6-58EB-4954-A1B4-D33794BE9FE9}"/>
    <cellStyle name="Input 2 6 5" xfId="9396" xr:uid="{00000000-0005-0000-0000-0000A9240000}"/>
    <cellStyle name="Input 2 6 5 2" xfId="21127" xr:uid="{7C0D4138-F68A-42C5-B654-CF6F7FD9BDDD}"/>
    <cellStyle name="Input 2 7" xfId="9397" xr:uid="{00000000-0005-0000-0000-0000AA240000}"/>
    <cellStyle name="Input 2 7 2" xfId="9398" xr:uid="{00000000-0005-0000-0000-0000AB240000}"/>
    <cellStyle name="Input 2 7 2 2" xfId="21128" xr:uid="{12878163-A5C0-4E21-8A55-23B4BB236CD4}"/>
    <cellStyle name="Input 2 7 3" xfId="9399" xr:uid="{00000000-0005-0000-0000-0000AC240000}"/>
    <cellStyle name="Input 2 7 3 2" xfId="21129" xr:uid="{6AAB0E8E-1298-41B4-904C-FD6617051D2F}"/>
    <cellStyle name="Input 2 7 4" xfId="9400" xr:uid="{00000000-0005-0000-0000-0000AD240000}"/>
    <cellStyle name="Input 2 7 4 2" xfId="21130" xr:uid="{343E50FC-6F2C-4016-9EFF-C903B6F80146}"/>
    <cellStyle name="Input 2 7 5" xfId="9401" xr:uid="{00000000-0005-0000-0000-0000AE240000}"/>
    <cellStyle name="Input 2 7 5 2" xfId="21131" xr:uid="{15E7B815-F514-40FD-90C5-B0D34B6CEB2A}"/>
    <cellStyle name="Input 2 8" xfId="9402" xr:uid="{00000000-0005-0000-0000-0000AF240000}"/>
    <cellStyle name="Input 2 8 2" xfId="9403" xr:uid="{00000000-0005-0000-0000-0000B0240000}"/>
    <cellStyle name="Input 2 8 2 2" xfId="21132" xr:uid="{3C111353-7DF2-4DB3-9E60-2D63B456A7BD}"/>
    <cellStyle name="Input 2 8 3" xfId="9404" xr:uid="{00000000-0005-0000-0000-0000B1240000}"/>
    <cellStyle name="Input 2 8 3 2" xfId="21133" xr:uid="{CD538982-413D-4C9C-B9D9-61D0312A520F}"/>
    <cellStyle name="Input 2 8 4" xfId="9405" xr:uid="{00000000-0005-0000-0000-0000B2240000}"/>
    <cellStyle name="Input 2 8 4 2" xfId="21134" xr:uid="{F70DBF4F-7240-44C2-A96F-2FCB74681C08}"/>
    <cellStyle name="Input 2 8 5" xfId="9406" xr:uid="{00000000-0005-0000-0000-0000B3240000}"/>
    <cellStyle name="Input 2 8 5 2" xfId="21135" xr:uid="{62CACC04-9B45-4793-B096-5EB7F84D74FB}"/>
    <cellStyle name="Input 2 9" xfId="9407" xr:uid="{00000000-0005-0000-0000-0000B4240000}"/>
    <cellStyle name="Input 2 9 2" xfId="9408" xr:uid="{00000000-0005-0000-0000-0000B5240000}"/>
    <cellStyle name="Input 2 9 2 2" xfId="21136" xr:uid="{2BE36976-4BA0-4283-AB9C-C18A43CA1ABD}"/>
    <cellStyle name="Input 2 9 3" xfId="9409" xr:uid="{00000000-0005-0000-0000-0000B6240000}"/>
    <cellStyle name="Input 2 9 3 2" xfId="21137" xr:uid="{8DD857A3-F821-4940-B331-C6939EDB6BBE}"/>
    <cellStyle name="Input 2 9 4" xfId="9410" xr:uid="{00000000-0005-0000-0000-0000B7240000}"/>
    <cellStyle name="Input 2 9 4 2" xfId="21138" xr:uid="{6C38D2C3-A73E-4249-B210-7106BC7DCF03}"/>
    <cellStyle name="Input 2 9 5" xfId="9411" xr:uid="{00000000-0005-0000-0000-0000B8240000}"/>
    <cellStyle name="Input 2 9 5 2" xfId="21139" xr:uid="{363CB43A-0523-43BD-8DA6-D69FA79021ED}"/>
    <cellStyle name="Input 3" xfId="9412" xr:uid="{00000000-0005-0000-0000-0000B9240000}"/>
    <cellStyle name="Input 3 2" xfId="9413" xr:uid="{00000000-0005-0000-0000-0000BA240000}"/>
    <cellStyle name="Input 3 2 2" xfId="21141" xr:uid="{5940E34D-C84A-4E09-BA3F-416D4D28EDB6}"/>
    <cellStyle name="Input 3 3" xfId="9414" xr:uid="{00000000-0005-0000-0000-0000BB240000}"/>
    <cellStyle name="Input 3 3 2" xfId="21142" xr:uid="{C5CACB07-1702-410F-A68D-92421104EEE0}"/>
    <cellStyle name="Input 3 4" xfId="21140" xr:uid="{BE2A1B23-0E93-43BB-8820-1C3C4C1EF237}"/>
    <cellStyle name="Input 4" xfId="9415" xr:uid="{00000000-0005-0000-0000-0000BC240000}"/>
    <cellStyle name="Input 4 2" xfId="9416" xr:uid="{00000000-0005-0000-0000-0000BD240000}"/>
    <cellStyle name="Input 4 2 2" xfId="21144" xr:uid="{C5A392B5-7037-4DBF-9BCD-6D26901683B3}"/>
    <cellStyle name="Input 4 3" xfId="9417" xr:uid="{00000000-0005-0000-0000-0000BE240000}"/>
    <cellStyle name="Input 4 3 2" xfId="21145" xr:uid="{58F20E6A-7F1F-4ECA-B1A3-657F04EE2AE0}"/>
    <cellStyle name="Input 4 4" xfId="21143" xr:uid="{CA8B369F-295C-42ED-AB82-1C14A286B71A}"/>
    <cellStyle name="Input 5" xfId="9418" xr:uid="{00000000-0005-0000-0000-0000BF240000}"/>
    <cellStyle name="Input 5 2" xfId="9419" xr:uid="{00000000-0005-0000-0000-0000C0240000}"/>
    <cellStyle name="Input 5 2 2" xfId="21147" xr:uid="{6B6A06AA-F37C-4B21-B831-5AA492066ABD}"/>
    <cellStyle name="Input 5 3" xfId="9420" xr:uid="{00000000-0005-0000-0000-0000C1240000}"/>
    <cellStyle name="Input 5 3 2" xfId="21148" xr:uid="{294D1585-4D29-4624-A35B-BD5D556910BE}"/>
    <cellStyle name="Input 5 4" xfId="21146" xr:uid="{127FD7D4-C439-4BE4-ACD9-2E6022021874}"/>
    <cellStyle name="Input 6" xfId="9421" xr:uid="{00000000-0005-0000-0000-0000C2240000}"/>
    <cellStyle name="Input 6 2" xfId="9422" xr:uid="{00000000-0005-0000-0000-0000C3240000}"/>
    <cellStyle name="Input 6 2 2" xfId="21150" xr:uid="{55209F8B-CCDC-4E6B-B4C0-4F5DF7C29BC8}"/>
    <cellStyle name="Input 6 3" xfId="9423" xr:uid="{00000000-0005-0000-0000-0000C4240000}"/>
    <cellStyle name="Input 6 3 2" xfId="21151" xr:uid="{9F3C32F3-141F-4646-A71C-B6D635ACAFE2}"/>
    <cellStyle name="Input 6 4" xfId="21149" xr:uid="{0EEFB002-2052-4ED2-BE93-D57F5679A0F2}"/>
    <cellStyle name="Input 7" xfId="9424" xr:uid="{00000000-0005-0000-0000-0000C5240000}"/>
    <cellStyle name="Input 7 2" xfId="21152" xr:uid="{9DE67506-AD4F-4A10-BD2C-2244986CE59B}"/>
    <cellStyle name="inputExposure" xfId="9425" xr:uid="{00000000-0005-0000-0000-0000C6240000}"/>
    <cellStyle name="inputExposure 2" xfId="21153" xr:uid="{BAD626F4-99CD-4ACE-A108-603C747C16EF}"/>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23 2" xfId="21415" xr:uid="{D8DA2078-D870-43FA-9DBE-4AB6D3CBE66B}"/>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2 2" xfId="21155" xr:uid="{C3CDC1C5-B62B-43CF-AF37-9F81E5CBF931}"/>
    <cellStyle name="Note 2 10 3" xfId="20386" xr:uid="{00000000-0005-0000-0000-0000A64F0000}"/>
    <cellStyle name="Note 2 10 3 2" xfId="21156" xr:uid="{C65D76A9-A5AE-4A9F-9404-67BEC034B7E5}"/>
    <cellStyle name="Note 2 10 4" xfId="20387" xr:uid="{00000000-0005-0000-0000-0000A74F0000}"/>
    <cellStyle name="Note 2 10 4 2" xfId="21157" xr:uid="{04540AA9-3F66-45E0-984A-B58FE0CDE028}"/>
    <cellStyle name="Note 2 10 5" xfId="20388" xr:uid="{00000000-0005-0000-0000-0000A84F0000}"/>
    <cellStyle name="Note 2 10 5 2" xfId="21158" xr:uid="{731C8A62-D214-4DB1-983C-F57DCA21D86F}"/>
    <cellStyle name="Note 2 11" xfId="20389" xr:uid="{00000000-0005-0000-0000-0000A94F0000}"/>
    <cellStyle name="Note 2 11 2" xfId="20390" xr:uid="{00000000-0005-0000-0000-0000AA4F0000}"/>
    <cellStyle name="Note 2 11 2 2" xfId="21159" xr:uid="{D75AA278-7EB0-404E-BCF8-80F147FB0D77}"/>
    <cellStyle name="Note 2 11 3" xfId="20391" xr:uid="{00000000-0005-0000-0000-0000AB4F0000}"/>
    <cellStyle name="Note 2 11 3 2" xfId="21160" xr:uid="{0E8B0658-FD8B-45DF-A419-6CA1F73D163D}"/>
    <cellStyle name="Note 2 11 4" xfId="20392" xr:uid="{00000000-0005-0000-0000-0000AC4F0000}"/>
    <cellStyle name="Note 2 11 4 2" xfId="21161" xr:uid="{C6ACB45E-AEFD-42A3-8E3E-D3CC88F153BE}"/>
    <cellStyle name="Note 2 11 5" xfId="20393" xr:uid="{00000000-0005-0000-0000-0000AD4F0000}"/>
    <cellStyle name="Note 2 11 5 2" xfId="21162" xr:uid="{32551BAA-4B13-44CA-B624-B69259B4067E}"/>
    <cellStyle name="Note 2 12" xfId="20394" xr:uid="{00000000-0005-0000-0000-0000AE4F0000}"/>
    <cellStyle name="Note 2 12 2" xfId="20395" xr:uid="{00000000-0005-0000-0000-0000AF4F0000}"/>
    <cellStyle name="Note 2 12 2 2" xfId="21163" xr:uid="{CB910595-291A-41B1-BD8C-BD01298C009F}"/>
    <cellStyle name="Note 2 12 3" xfId="20396" xr:uid="{00000000-0005-0000-0000-0000B04F0000}"/>
    <cellStyle name="Note 2 12 3 2" xfId="21164" xr:uid="{54F455A2-AFB3-4414-8CD0-15D6B0B9CECF}"/>
    <cellStyle name="Note 2 12 4" xfId="20397" xr:uid="{00000000-0005-0000-0000-0000B14F0000}"/>
    <cellStyle name="Note 2 12 4 2" xfId="21165" xr:uid="{3B11DCD7-BD45-445B-B2AD-9663C70E890B}"/>
    <cellStyle name="Note 2 12 5" xfId="20398" xr:uid="{00000000-0005-0000-0000-0000B24F0000}"/>
    <cellStyle name="Note 2 12 5 2" xfId="21166" xr:uid="{D43D8FD1-E20D-4B31-BCAC-DEC553D67C0F}"/>
    <cellStyle name="Note 2 13" xfId="20399" xr:uid="{00000000-0005-0000-0000-0000B34F0000}"/>
    <cellStyle name="Note 2 13 2" xfId="20400" xr:uid="{00000000-0005-0000-0000-0000B44F0000}"/>
    <cellStyle name="Note 2 13 2 2" xfId="21167" xr:uid="{ACE79DBD-42FE-4D09-94F0-73D83D1D2913}"/>
    <cellStyle name="Note 2 13 3" xfId="20401" xr:uid="{00000000-0005-0000-0000-0000B54F0000}"/>
    <cellStyle name="Note 2 13 3 2" xfId="21168" xr:uid="{9DDD5DF3-BF89-4078-AE55-18C502F368E0}"/>
    <cellStyle name="Note 2 13 4" xfId="20402" xr:uid="{00000000-0005-0000-0000-0000B64F0000}"/>
    <cellStyle name="Note 2 13 4 2" xfId="21169" xr:uid="{EA33FA93-63DB-4822-BF43-A0F36071B0BF}"/>
    <cellStyle name="Note 2 13 5" xfId="20403" xr:uid="{00000000-0005-0000-0000-0000B74F0000}"/>
    <cellStyle name="Note 2 13 5 2" xfId="21170" xr:uid="{86738B64-5CC8-479A-A2C4-CDFD21BB5AAD}"/>
    <cellStyle name="Note 2 14" xfId="20404" xr:uid="{00000000-0005-0000-0000-0000B84F0000}"/>
    <cellStyle name="Note 2 14 2" xfId="20405" xr:uid="{00000000-0005-0000-0000-0000B94F0000}"/>
    <cellStyle name="Note 2 14 2 2" xfId="21172" xr:uid="{6427A7FC-2AEA-4C13-A77A-8618C9048676}"/>
    <cellStyle name="Note 2 14 3" xfId="21171" xr:uid="{2E2C04DE-DD83-42B6-82EC-A76EC01CE98A}"/>
    <cellStyle name="Note 2 15" xfId="20406" xr:uid="{00000000-0005-0000-0000-0000BA4F0000}"/>
    <cellStyle name="Note 2 15 2" xfId="20407" xr:uid="{00000000-0005-0000-0000-0000BB4F0000}"/>
    <cellStyle name="Note 2 15 2 2" xfId="21173" xr:uid="{2DD78C2C-69CE-473A-9E3D-8782A6F858BA}"/>
    <cellStyle name="Note 2 16" xfId="20408" xr:uid="{00000000-0005-0000-0000-0000BC4F0000}"/>
    <cellStyle name="Note 2 16 2" xfId="21174" xr:uid="{8F1C1517-56D9-4C59-AAF3-AEA83B459796}"/>
    <cellStyle name="Note 2 17" xfId="20409" xr:uid="{00000000-0005-0000-0000-0000BD4F0000}"/>
    <cellStyle name="Note 2 17 2" xfId="21175" xr:uid="{EE4040F4-87A0-4B4D-BB67-A6FE579BE3A6}"/>
    <cellStyle name="Note 2 18" xfId="21154" xr:uid="{70CD933D-6794-44F4-A400-8BEEDBAAA6B1}"/>
    <cellStyle name="Note 2 2" xfId="20410" xr:uid="{00000000-0005-0000-0000-0000BE4F0000}"/>
    <cellStyle name="Note 2 2 10" xfId="20411" xr:uid="{00000000-0005-0000-0000-0000BF4F0000}"/>
    <cellStyle name="Note 2 2 10 2" xfId="21177" xr:uid="{CE0D0099-01D8-4B97-8A37-251791A0E536}"/>
    <cellStyle name="Note 2 2 11" xfId="21176" xr:uid="{C70036A8-E98B-4C4B-92B9-A996C3C65049}"/>
    <cellStyle name="Note 2 2 2" xfId="20412" xr:uid="{00000000-0005-0000-0000-0000C04F0000}"/>
    <cellStyle name="Note 2 2 2 2" xfId="20413" xr:uid="{00000000-0005-0000-0000-0000C14F0000}"/>
    <cellStyle name="Note 2 2 2 2 2" xfId="21179" xr:uid="{2B114298-A116-4D55-8CCB-203084D4F547}"/>
    <cellStyle name="Note 2 2 2 3" xfId="20414" xr:uid="{00000000-0005-0000-0000-0000C24F0000}"/>
    <cellStyle name="Note 2 2 2 3 2" xfId="21180" xr:uid="{8348177B-6E52-4727-95D5-E2A13EBC774D}"/>
    <cellStyle name="Note 2 2 2 4" xfId="20415" xr:uid="{00000000-0005-0000-0000-0000C34F0000}"/>
    <cellStyle name="Note 2 2 2 4 2" xfId="21181" xr:uid="{9CE4DDC8-845D-48D8-B14E-D4C179617F53}"/>
    <cellStyle name="Note 2 2 2 5" xfId="20416" xr:uid="{00000000-0005-0000-0000-0000C44F0000}"/>
    <cellStyle name="Note 2 2 2 5 2" xfId="21182" xr:uid="{3A487D20-7ACA-4983-8BB9-313EC92C512D}"/>
    <cellStyle name="Note 2 2 2 6" xfId="21178" xr:uid="{7EB6A950-6FFA-4797-84F0-9B3577B846CD}"/>
    <cellStyle name="Note 2 2 3" xfId="20417" xr:uid="{00000000-0005-0000-0000-0000C54F0000}"/>
    <cellStyle name="Note 2 2 3 2" xfId="20418" xr:uid="{00000000-0005-0000-0000-0000C64F0000}"/>
    <cellStyle name="Note 2 2 3 2 2" xfId="21183" xr:uid="{15F97047-555B-4C56-8620-8DFF91530F09}"/>
    <cellStyle name="Note 2 2 3 3" xfId="20419" xr:uid="{00000000-0005-0000-0000-0000C74F0000}"/>
    <cellStyle name="Note 2 2 3 3 2" xfId="21184" xr:uid="{C7719167-E9B4-4689-97F7-E4C9D3F4BA52}"/>
    <cellStyle name="Note 2 2 3 4" xfId="20420" xr:uid="{00000000-0005-0000-0000-0000C84F0000}"/>
    <cellStyle name="Note 2 2 3 4 2" xfId="21185" xr:uid="{4C1D5A28-2062-4687-AE61-FAB61D4952EA}"/>
    <cellStyle name="Note 2 2 3 5" xfId="20421" xr:uid="{00000000-0005-0000-0000-0000C94F0000}"/>
    <cellStyle name="Note 2 2 3 5 2" xfId="21186" xr:uid="{C11C1A10-0495-4EA4-ABF3-39818631205E}"/>
    <cellStyle name="Note 2 2 4" xfId="20422" xr:uid="{00000000-0005-0000-0000-0000CA4F0000}"/>
    <cellStyle name="Note 2 2 4 2" xfId="20423" xr:uid="{00000000-0005-0000-0000-0000CB4F0000}"/>
    <cellStyle name="Note 2 2 4 2 2" xfId="21188" xr:uid="{2162FA72-28D6-47DF-BFC0-205E531E65E5}"/>
    <cellStyle name="Note 2 2 4 3" xfId="20424" xr:uid="{00000000-0005-0000-0000-0000CC4F0000}"/>
    <cellStyle name="Note 2 2 4 3 2" xfId="21189" xr:uid="{9979C030-6003-4AE4-9F76-464A566675F1}"/>
    <cellStyle name="Note 2 2 4 4" xfId="20425" xr:uid="{00000000-0005-0000-0000-0000CD4F0000}"/>
    <cellStyle name="Note 2 2 4 4 2" xfId="21190" xr:uid="{DB0A7C19-D8DB-43C4-86B8-8AD4F07A94B0}"/>
    <cellStyle name="Note 2 2 4 5" xfId="21187" xr:uid="{6C482485-A8C7-49B6-B0C1-298B7F54806B}"/>
    <cellStyle name="Note 2 2 5" xfId="20426" xr:uid="{00000000-0005-0000-0000-0000CE4F0000}"/>
    <cellStyle name="Note 2 2 5 2" xfId="20427" xr:uid="{00000000-0005-0000-0000-0000CF4F0000}"/>
    <cellStyle name="Note 2 2 5 2 2" xfId="21192" xr:uid="{28A86F68-08B5-4295-B75C-ED9BDF0EE704}"/>
    <cellStyle name="Note 2 2 5 3" xfId="20428" xr:uid="{00000000-0005-0000-0000-0000D04F0000}"/>
    <cellStyle name="Note 2 2 5 3 2" xfId="21193" xr:uid="{AEBE1205-08B9-4329-BC56-4375F36DF9CE}"/>
    <cellStyle name="Note 2 2 5 4" xfId="20429" xr:uid="{00000000-0005-0000-0000-0000D14F0000}"/>
    <cellStyle name="Note 2 2 5 4 2" xfId="21194" xr:uid="{EB2402E5-36BD-429C-ADE7-1438A01C4039}"/>
    <cellStyle name="Note 2 2 5 5" xfId="21191" xr:uid="{E2D780FA-FA54-4EEF-BCB3-1A97F8B6CF80}"/>
    <cellStyle name="Note 2 2 6" xfId="20430" xr:uid="{00000000-0005-0000-0000-0000D24F0000}"/>
    <cellStyle name="Note 2 2 6 2" xfId="21195" xr:uid="{935429C0-1E68-4262-8FD7-55C1BBDC33D7}"/>
    <cellStyle name="Note 2 2 7" xfId="20431" xr:uid="{00000000-0005-0000-0000-0000D34F0000}"/>
    <cellStyle name="Note 2 2 7 2" xfId="21196" xr:uid="{FDB69F7A-89B8-4401-9B69-9DBE740A4DEB}"/>
    <cellStyle name="Note 2 2 8" xfId="20432" xr:uid="{00000000-0005-0000-0000-0000D44F0000}"/>
    <cellStyle name="Note 2 2 8 2" xfId="21197" xr:uid="{BFA3AF7E-5EEF-4CAA-9774-D84F6C2C2B85}"/>
    <cellStyle name="Note 2 2 9" xfId="20433" xr:uid="{00000000-0005-0000-0000-0000D54F0000}"/>
    <cellStyle name="Note 2 2 9 2" xfId="21198" xr:uid="{A58500C8-EF33-470B-8BCD-0CABCD0CB919}"/>
    <cellStyle name="Note 2 3" xfId="20434" xr:uid="{00000000-0005-0000-0000-0000D64F0000}"/>
    <cellStyle name="Note 2 3 2" xfId="20435" xr:uid="{00000000-0005-0000-0000-0000D74F0000}"/>
    <cellStyle name="Note 2 3 2 2" xfId="21199" xr:uid="{CA53BAFA-C6CE-466A-A55D-E648D1D1CFBA}"/>
    <cellStyle name="Note 2 3 3" xfId="20436" xr:uid="{00000000-0005-0000-0000-0000D84F0000}"/>
    <cellStyle name="Note 2 3 3 2" xfId="21200" xr:uid="{C4A54140-EF5E-4148-9BE9-DB57CAEF37F2}"/>
    <cellStyle name="Note 2 3 4" xfId="20437" xr:uid="{00000000-0005-0000-0000-0000D94F0000}"/>
    <cellStyle name="Note 2 3 4 2" xfId="21201" xr:uid="{A448785C-7158-4751-8E5D-285E3DFFCA7B}"/>
    <cellStyle name="Note 2 3 5" xfId="20438" xr:uid="{00000000-0005-0000-0000-0000DA4F0000}"/>
    <cellStyle name="Note 2 3 5 2" xfId="21202" xr:uid="{07BBE4F0-3995-4A22-BE78-9E8C39FD2422}"/>
    <cellStyle name="Note 2 4" xfId="20439" xr:uid="{00000000-0005-0000-0000-0000DB4F0000}"/>
    <cellStyle name="Note 2 4 2" xfId="20440" xr:uid="{00000000-0005-0000-0000-0000DC4F0000}"/>
    <cellStyle name="Note 2 4 2 2" xfId="20441" xr:uid="{00000000-0005-0000-0000-0000DD4F0000}"/>
    <cellStyle name="Note 2 4 2 2 2" xfId="21203" xr:uid="{92446EEA-9C66-44F5-B548-416349B62626}"/>
    <cellStyle name="Note 2 4 3" xfId="20442" xr:uid="{00000000-0005-0000-0000-0000DE4F0000}"/>
    <cellStyle name="Note 2 4 3 2" xfId="20443" xr:uid="{00000000-0005-0000-0000-0000DF4F0000}"/>
    <cellStyle name="Note 2 4 3 2 2" xfId="21204" xr:uid="{C99B3F7D-2CF4-43AB-87D3-09DB63199688}"/>
    <cellStyle name="Note 2 4 4" xfId="20444" xr:uid="{00000000-0005-0000-0000-0000E04F0000}"/>
    <cellStyle name="Note 2 4 4 2" xfId="20445" xr:uid="{00000000-0005-0000-0000-0000E14F0000}"/>
    <cellStyle name="Note 2 4 4 2 2" xfId="21205" xr:uid="{E89141F9-80A2-4EE3-8EEB-2A6BD1983A09}"/>
    <cellStyle name="Note 2 4 5" xfId="20446" xr:uid="{00000000-0005-0000-0000-0000E24F0000}"/>
    <cellStyle name="Note 2 4 6" xfId="20447" xr:uid="{00000000-0005-0000-0000-0000E34F0000}"/>
    <cellStyle name="Note 2 4 7" xfId="20448" xr:uid="{00000000-0005-0000-0000-0000E44F0000}"/>
    <cellStyle name="Note 2 4 7 2" xfId="21206" xr:uid="{FDCFE082-19A1-41D6-8361-1932537BD190}"/>
    <cellStyle name="Note 2 5" xfId="20449" xr:uid="{00000000-0005-0000-0000-0000E54F0000}"/>
    <cellStyle name="Note 2 5 2" xfId="20450" xr:uid="{00000000-0005-0000-0000-0000E64F0000}"/>
    <cellStyle name="Note 2 5 2 2" xfId="20451" xr:uid="{00000000-0005-0000-0000-0000E74F0000}"/>
    <cellStyle name="Note 2 5 2 2 2" xfId="21207" xr:uid="{A8B840D0-3B38-4A12-950B-7666ACDB6A6C}"/>
    <cellStyle name="Note 2 5 3" xfId="20452" xr:uid="{00000000-0005-0000-0000-0000E84F0000}"/>
    <cellStyle name="Note 2 5 3 2" xfId="20453" xr:uid="{00000000-0005-0000-0000-0000E94F0000}"/>
    <cellStyle name="Note 2 5 3 2 2" xfId="21208" xr:uid="{33C8B036-6471-42BF-9EFC-BE8FDD1EBAEB}"/>
    <cellStyle name="Note 2 5 4" xfId="20454" xr:uid="{00000000-0005-0000-0000-0000EA4F0000}"/>
    <cellStyle name="Note 2 5 4 2" xfId="20455" xr:uid="{00000000-0005-0000-0000-0000EB4F0000}"/>
    <cellStyle name="Note 2 5 4 2 2" xfId="21209" xr:uid="{41B4F87E-547F-4497-B359-B752C0144CB9}"/>
    <cellStyle name="Note 2 5 5" xfId="20456" xr:uid="{00000000-0005-0000-0000-0000EC4F0000}"/>
    <cellStyle name="Note 2 5 6" xfId="20457" xr:uid="{00000000-0005-0000-0000-0000ED4F0000}"/>
    <cellStyle name="Note 2 5 7" xfId="20458" xr:uid="{00000000-0005-0000-0000-0000EE4F0000}"/>
    <cellStyle name="Note 2 5 7 2" xfId="21210" xr:uid="{706BA2FA-8CEF-4FFF-9241-39C4161AB986}"/>
    <cellStyle name="Note 2 6" xfId="20459" xr:uid="{00000000-0005-0000-0000-0000EF4F0000}"/>
    <cellStyle name="Note 2 6 2" xfId="20460" xr:uid="{00000000-0005-0000-0000-0000F04F0000}"/>
    <cellStyle name="Note 2 6 2 2" xfId="20461" xr:uid="{00000000-0005-0000-0000-0000F14F0000}"/>
    <cellStyle name="Note 2 6 2 2 2" xfId="21211" xr:uid="{D09B5385-F58B-4677-820E-74F13483F673}"/>
    <cellStyle name="Note 2 6 3" xfId="20462" xr:uid="{00000000-0005-0000-0000-0000F24F0000}"/>
    <cellStyle name="Note 2 6 3 2" xfId="20463" xr:uid="{00000000-0005-0000-0000-0000F34F0000}"/>
    <cellStyle name="Note 2 6 3 2 2" xfId="21212" xr:uid="{C50CF0C9-8A6F-4F88-8A11-3D52EA562A6C}"/>
    <cellStyle name="Note 2 6 4" xfId="20464" xr:uid="{00000000-0005-0000-0000-0000F44F0000}"/>
    <cellStyle name="Note 2 6 4 2" xfId="20465" xr:uid="{00000000-0005-0000-0000-0000F54F0000}"/>
    <cellStyle name="Note 2 6 4 2 2" xfId="21213" xr:uid="{25B3573C-E74D-40BE-8E8D-EED6A60B2DE2}"/>
    <cellStyle name="Note 2 6 5" xfId="20466" xr:uid="{00000000-0005-0000-0000-0000F64F0000}"/>
    <cellStyle name="Note 2 6 6" xfId="20467" xr:uid="{00000000-0005-0000-0000-0000F74F0000}"/>
    <cellStyle name="Note 2 6 7" xfId="20468" xr:uid="{00000000-0005-0000-0000-0000F84F0000}"/>
    <cellStyle name="Note 2 6 7 2" xfId="21214" xr:uid="{B8A7D0C2-45B5-45F3-B0A6-A46241E29310}"/>
    <cellStyle name="Note 2 7" xfId="20469" xr:uid="{00000000-0005-0000-0000-0000F94F0000}"/>
    <cellStyle name="Note 2 7 2" xfId="20470" xr:uid="{00000000-0005-0000-0000-0000FA4F0000}"/>
    <cellStyle name="Note 2 7 2 2" xfId="20471" xr:uid="{00000000-0005-0000-0000-0000FB4F0000}"/>
    <cellStyle name="Note 2 7 2 2 2" xfId="21215" xr:uid="{CF448593-F4EA-473E-B77A-83AF043D34E8}"/>
    <cellStyle name="Note 2 7 3" xfId="20472" xr:uid="{00000000-0005-0000-0000-0000FC4F0000}"/>
    <cellStyle name="Note 2 7 3 2" xfId="20473" xr:uid="{00000000-0005-0000-0000-0000FD4F0000}"/>
    <cellStyle name="Note 2 7 3 2 2" xfId="21216" xr:uid="{00FF3E74-A423-46AE-81D3-8CA6512CDC8A}"/>
    <cellStyle name="Note 2 7 4" xfId="20474" xr:uid="{00000000-0005-0000-0000-0000FE4F0000}"/>
    <cellStyle name="Note 2 7 4 2" xfId="20475" xr:uid="{00000000-0005-0000-0000-0000FF4F0000}"/>
    <cellStyle name="Note 2 7 4 2 2" xfId="21217" xr:uid="{E9DFF6A9-C191-4A34-A7BA-2BE106DE1EC7}"/>
    <cellStyle name="Note 2 7 5" xfId="20476" xr:uid="{00000000-0005-0000-0000-000000500000}"/>
    <cellStyle name="Note 2 7 6" xfId="20477" xr:uid="{00000000-0005-0000-0000-000001500000}"/>
    <cellStyle name="Note 2 7 7" xfId="20478" xr:uid="{00000000-0005-0000-0000-000002500000}"/>
    <cellStyle name="Note 2 7 7 2" xfId="21218" xr:uid="{CACE5AE9-56E2-4BA0-A603-7FEB4B000C77}"/>
    <cellStyle name="Note 2 8" xfId="20479" xr:uid="{00000000-0005-0000-0000-000003500000}"/>
    <cellStyle name="Note 2 8 2" xfId="20480" xr:uid="{00000000-0005-0000-0000-000004500000}"/>
    <cellStyle name="Note 2 8 2 2" xfId="21219" xr:uid="{F2071223-1CFD-4A62-9313-364A44D828A6}"/>
    <cellStyle name="Note 2 8 3" xfId="20481" xr:uid="{00000000-0005-0000-0000-000005500000}"/>
    <cellStyle name="Note 2 8 3 2" xfId="21220" xr:uid="{095383C2-C726-4FCB-84DF-3CD30587818C}"/>
    <cellStyle name="Note 2 8 4" xfId="20482" xr:uid="{00000000-0005-0000-0000-000006500000}"/>
    <cellStyle name="Note 2 8 4 2" xfId="21221" xr:uid="{94952950-0C13-4935-94BA-F1D758384D06}"/>
    <cellStyle name="Note 2 8 5" xfId="20483" xr:uid="{00000000-0005-0000-0000-000007500000}"/>
    <cellStyle name="Note 2 8 5 2" xfId="21222" xr:uid="{20CCEB1A-299B-40AA-A3C8-21A684955576}"/>
    <cellStyle name="Note 2 9" xfId="20484" xr:uid="{00000000-0005-0000-0000-000008500000}"/>
    <cellStyle name="Note 2 9 2" xfId="20485" xr:uid="{00000000-0005-0000-0000-000009500000}"/>
    <cellStyle name="Note 2 9 2 2" xfId="21223" xr:uid="{E62482E3-0573-4C2D-B04D-DC4F618E85FC}"/>
    <cellStyle name="Note 2 9 3" xfId="20486" xr:uid="{00000000-0005-0000-0000-00000A500000}"/>
    <cellStyle name="Note 2 9 3 2" xfId="21224" xr:uid="{114ECF1C-08A8-418D-8067-1D0AECF3630B}"/>
    <cellStyle name="Note 2 9 4" xfId="20487" xr:uid="{00000000-0005-0000-0000-00000B500000}"/>
    <cellStyle name="Note 2 9 4 2" xfId="21225" xr:uid="{57CF6C43-C16B-451A-AE50-426917A69565}"/>
    <cellStyle name="Note 2 9 5" xfId="20488" xr:uid="{00000000-0005-0000-0000-00000C500000}"/>
    <cellStyle name="Note 2 9 5 2" xfId="21226" xr:uid="{82173333-A635-4980-825D-BB745180E846}"/>
    <cellStyle name="Note 3 2" xfId="20489" xr:uid="{00000000-0005-0000-0000-00000D500000}"/>
    <cellStyle name="Note 3 2 2" xfId="20490" xr:uid="{00000000-0005-0000-0000-00000E500000}"/>
    <cellStyle name="Note 3 2 2 2" xfId="21228" xr:uid="{F33F09AD-DC25-446D-8EFF-1C8E069B6904}"/>
    <cellStyle name="Note 3 2 3" xfId="20491" xr:uid="{00000000-0005-0000-0000-00000F500000}"/>
    <cellStyle name="Note 3 2 4" xfId="21227" xr:uid="{43CA3C09-2912-424F-9CF8-F2EE4DCDA1E4}"/>
    <cellStyle name="Note 3 3" xfId="20492" xr:uid="{00000000-0005-0000-0000-000010500000}"/>
    <cellStyle name="Note 3 3 2" xfId="20493" xr:uid="{00000000-0005-0000-0000-000011500000}"/>
    <cellStyle name="Note 3 3 3" xfId="21229" xr:uid="{4F49AEC8-D1F5-4595-8E89-6DF0010D8E71}"/>
    <cellStyle name="Note 3 4" xfId="20494" xr:uid="{00000000-0005-0000-0000-000012500000}"/>
    <cellStyle name="Note 3 4 2" xfId="21230" xr:uid="{4AEC82F3-5612-44E5-B515-072AB946D350}"/>
    <cellStyle name="Note 3 5" xfId="20495" xr:uid="{00000000-0005-0000-0000-000013500000}"/>
    <cellStyle name="Note 4 2" xfId="20496" xr:uid="{00000000-0005-0000-0000-000014500000}"/>
    <cellStyle name="Note 4 2 2" xfId="20497" xr:uid="{00000000-0005-0000-0000-000015500000}"/>
    <cellStyle name="Note 4 2 2 2" xfId="21232" xr:uid="{9E67FA48-A16C-4B98-8AC5-6496B611A9C6}"/>
    <cellStyle name="Note 4 2 3" xfId="20498" xr:uid="{00000000-0005-0000-0000-000016500000}"/>
    <cellStyle name="Note 4 2 4" xfId="21231" xr:uid="{CA8677BA-3670-4E32-A655-202C4C66438D}"/>
    <cellStyle name="Note 4 3" xfId="20499" xr:uid="{00000000-0005-0000-0000-000017500000}"/>
    <cellStyle name="Note 4 4" xfId="20500" xr:uid="{00000000-0005-0000-0000-000018500000}"/>
    <cellStyle name="Note 4 4 2" xfId="21233" xr:uid="{35F7480D-4966-4661-A85A-741C976469BC}"/>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2 3" xfId="21235" xr:uid="{CCAAC949-120C-4404-86FE-8AF85D5C3D2E}"/>
    <cellStyle name="Note 5 3" xfId="20505" xr:uid="{00000000-0005-0000-0000-00001D500000}"/>
    <cellStyle name="Note 5 3 2" xfId="20506" xr:uid="{00000000-0005-0000-0000-00001E500000}"/>
    <cellStyle name="Note 5 3 3" xfId="21236" xr:uid="{444BA3A1-507B-4DF7-81DC-64B124C589FD}"/>
    <cellStyle name="Note 5 4" xfId="20507" xr:uid="{00000000-0005-0000-0000-00001F500000}"/>
    <cellStyle name="Note 5 4 2" xfId="21237" xr:uid="{B0BF9685-AFA1-425D-8FA1-F34EFB890F6A}"/>
    <cellStyle name="Note 5 5" xfId="20508" xr:uid="{00000000-0005-0000-0000-000020500000}"/>
    <cellStyle name="Note 5 6" xfId="21234" xr:uid="{97967F18-9E0C-428C-BEEA-F9842F4D6553}"/>
    <cellStyle name="Note 6" xfId="20509" xr:uid="{00000000-0005-0000-0000-000021500000}"/>
    <cellStyle name="Note 6 2" xfId="20510" xr:uid="{00000000-0005-0000-0000-000022500000}"/>
    <cellStyle name="Note 6 2 2" xfId="20511" xr:uid="{00000000-0005-0000-0000-000023500000}"/>
    <cellStyle name="Note 6 2 3" xfId="21239" xr:uid="{855EF0A0-E1F1-445E-AD5F-91655F6C6B05}"/>
    <cellStyle name="Note 6 3" xfId="20512" xr:uid="{00000000-0005-0000-0000-000024500000}"/>
    <cellStyle name="Note 6 4" xfId="20513" xr:uid="{00000000-0005-0000-0000-000025500000}"/>
    <cellStyle name="Note 6 5" xfId="21238" xr:uid="{D58CAE5C-5664-4DC9-BEC9-A44BCE338B97}"/>
    <cellStyle name="Note 7" xfId="20514" xr:uid="{00000000-0005-0000-0000-000026500000}"/>
    <cellStyle name="Note 7 2" xfId="21240" xr:uid="{76B4CF6D-2205-4B78-A3CD-0BF0EDD46FA8}"/>
    <cellStyle name="Note 8" xfId="20515" xr:uid="{00000000-0005-0000-0000-000027500000}"/>
    <cellStyle name="Note 8 2" xfId="20516" xr:uid="{00000000-0005-0000-0000-000028500000}"/>
    <cellStyle name="Note 8 2 2" xfId="21242" xr:uid="{03676AAF-2F16-4FA6-84EB-1F1758FC7118}"/>
    <cellStyle name="Note 8 3" xfId="21241" xr:uid="{7794CDF8-D05B-49C6-BB83-5C45D54E2E88}"/>
    <cellStyle name="Note 9" xfId="20517" xr:uid="{00000000-0005-0000-0000-000029500000}"/>
    <cellStyle name="Note 9 2" xfId="21243" xr:uid="{41B7B8B4-D0B1-4AB2-8807-3A8919D5A029}"/>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alExposure 2" xfId="21244" xr:uid="{9EF353C6-BD18-49DF-A07F-AAC19BA63E01}"/>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2 2" xfId="21246" xr:uid="{E0ED770E-BCFB-4DA0-A340-7C3DD5C77875}"/>
    <cellStyle name="Output 2 10 3" xfId="20531" xr:uid="{00000000-0005-0000-0000-000037500000}"/>
    <cellStyle name="Output 2 10 3 2" xfId="21247" xr:uid="{786BC77E-CF34-4FD6-9BD3-157F4EAA85A6}"/>
    <cellStyle name="Output 2 10 4" xfId="20532" xr:uid="{00000000-0005-0000-0000-000038500000}"/>
    <cellStyle name="Output 2 10 4 2" xfId="21248" xr:uid="{6113B91B-21C8-40ED-A6CC-EA8DC1318B66}"/>
    <cellStyle name="Output 2 10 5" xfId="20533" xr:uid="{00000000-0005-0000-0000-000039500000}"/>
    <cellStyle name="Output 2 10 5 2" xfId="21249" xr:uid="{C9501FC7-3AA9-433D-BEAD-B3BEC2C2B3D4}"/>
    <cellStyle name="Output 2 11" xfId="20534" xr:uid="{00000000-0005-0000-0000-00003A500000}"/>
    <cellStyle name="Output 2 11 2" xfId="20535" xr:uid="{00000000-0005-0000-0000-00003B500000}"/>
    <cellStyle name="Output 2 11 2 2" xfId="21251" xr:uid="{8F60CCFB-57B1-4CD5-AD5C-22A09545ED36}"/>
    <cellStyle name="Output 2 11 3" xfId="20536" xr:uid="{00000000-0005-0000-0000-00003C500000}"/>
    <cellStyle name="Output 2 11 3 2" xfId="21252" xr:uid="{0C499D8D-44E0-4A2E-9C7C-067AFAD125DD}"/>
    <cellStyle name="Output 2 11 4" xfId="20537" xr:uid="{00000000-0005-0000-0000-00003D500000}"/>
    <cellStyle name="Output 2 11 4 2" xfId="21253" xr:uid="{1EF4ED29-F067-4A65-8A94-DA6006A32C0A}"/>
    <cellStyle name="Output 2 11 5" xfId="20538" xr:uid="{00000000-0005-0000-0000-00003E500000}"/>
    <cellStyle name="Output 2 11 5 2" xfId="21254" xr:uid="{4D24B770-A17F-40CE-BB59-13B83BF229B4}"/>
    <cellStyle name="Output 2 11 6" xfId="21250" xr:uid="{20EC525A-1566-44BA-8297-1FBE8DB8AF89}"/>
    <cellStyle name="Output 2 12" xfId="20539" xr:uid="{00000000-0005-0000-0000-00003F500000}"/>
    <cellStyle name="Output 2 12 2" xfId="20540" xr:uid="{00000000-0005-0000-0000-000040500000}"/>
    <cellStyle name="Output 2 12 2 2" xfId="21256" xr:uid="{7E567EA1-41D8-427F-B7ED-0CA0EFCD1F47}"/>
    <cellStyle name="Output 2 12 3" xfId="20541" xr:uid="{00000000-0005-0000-0000-000041500000}"/>
    <cellStyle name="Output 2 12 3 2" xfId="21257" xr:uid="{B43188B8-D38B-4083-A260-D95A4CD64FDE}"/>
    <cellStyle name="Output 2 12 4" xfId="20542" xr:uid="{00000000-0005-0000-0000-000042500000}"/>
    <cellStyle name="Output 2 12 4 2" xfId="21258" xr:uid="{914F2249-8B33-4FD6-B439-BB7C247B80CF}"/>
    <cellStyle name="Output 2 12 5" xfId="20543" xr:uid="{00000000-0005-0000-0000-000043500000}"/>
    <cellStyle name="Output 2 12 5 2" xfId="21259" xr:uid="{97D7BEE1-8963-4903-849B-A5EEBA2E7D5D}"/>
    <cellStyle name="Output 2 12 6" xfId="21255" xr:uid="{30B07EF5-9047-4EB7-82B6-A6B48570842B}"/>
    <cellStyle name="Output 2 13" xfId="20544" xr:uid="{00000000-0005-0000-0000-000044500000}"/>
    <cellStyle name="Output 2 13 2" xfId="20545" xr:uid="{00000000-0005-0000-0000-000045500000}"/>
    <cellStyle name="Output 2 13 2 2" xfId="21261" xr:uid="{0F21BA5A-6951-4A67-BF29-1563F9CC3DAA}"/>
    <cellStyle name="Output 2 13 3" xfId="20546" xr:uid="{00000000-0005-0000-0000-000046500000}"/>
    <cellStyle name="Output 2 13 3 2" xfId="21262" xr:uid="{9FF3058C-CC4D-4CAA-8918-98536C74A7E8}"/>
    <cellStyle name="Output 2 13 4" xfId="20547" xr:uid="{00000000-0005-0000-0000-000047500000}"/>
    <cellStyle name="Output 2 13 4 2" xfId="21263" xr:uid="{F826584D-0670-45DF-BF5C-D26D3CCE1A4E}"/>
    <cellStyle name="Output 2 13 5" xfId="21260" xr:uid="{1D64271A-52C8-4C5E-A702-D59FFBD25C1F}"/>
    <cellStyle name="Output 2 14" xfId="20548" xr:uid="{00000000-0005-0000-0000-000048500000}"/>
    <cellStyle name="Output 2 14 2" xfId="21264" xr:uid="{4D75433C-792E-4171-AA0A-D5A2D2AA3DFC}"/>
    <cellStyle name="Output 2 15" xfId="20549" xr:uid="{00000000-0005-0000-0000-000049500000}"/>
    <cellStyle name="Output 2 15 2" xfId="21265" xr:uid="{6692DA9E-B6C7-4321-9D67-E56FB36D5AD2}"/>
    <cellStyle name="Output 2 16" xfId="20550" xr:uid="{00000000-0005-0000-0000-00004A500000}"/>
    <cellStyle name="Output 2 16 2" xfId="21266" xr:uid="{CCFE7DAF-4BDB-4635-B5BC-F029F413269A}"/>
    <cellStyle name="Output 2 17" xfId="21245" xr:uid="{BE1449DD-9199-45FF-981E-DDC732B9A931}"/>
    <cellStyle name="Output 2 2" xfId="20551" xr:uid="{00000000-0005-0000-0000-00004B500000}"/>
    <cellStyle name="Output 2 2 10" xfId="21267" xr:uid="{33F62590-60E7-477D-AFD6-0EDAD515CE5D}"/>
    <cellStyle name="Output 2 2 2" xfId="20552" xr:uid="{00000000-0005-0000-0000-00004C500000}"/>
    <cellStyle name="Output 2 2 2 2" xfId="20553" xr:uid="{00000000-0005-0000-0000-00004D500000}"/>
    <cellStyle name="Output 2 2 2 2 2" xfId="21269" xr:uid="{255F290F-0B26-4293-A46D-C165AB084359}"/>
    <cellStyle name="Output 2 2 2 3" xfId="20554" xr:uid="{00000000-0005-0000-0000-00004E500000}"/>
    <cellStyle name="Output 2 2 2 3 2" xfId="21270" xr:uid="{76192657-9406-4128-A805-FD6F43D3458F}"/>
    <cellStyle name="Output 2 2 2 4" xfId="20555" xr:uid="{00000000-0005-0000-0000-00004F500000}"/>
    <cellStyle name="Output 2 2 2 4 2" xfId="21271" xr:uid="{745093B0-1A0A-434C-8566-38131C09EB0B}"/>
    <cellStyle name="Output 2 2 2 5" xfId="21268" xr:uid="{4D0F8405-A8CC-40D0-8156-2D7762FE4927}"/>
    <cellStyle name="Output 2 2 3" xfId="20556" xr:uid="{00000000-0005-0000-0000-000050500000}"/>
    <cellStyle name="Output 2 2 3 2" xfId="20557" xr:uid="{00000000-0005-0000-0000-000051500000}"/>
    <cellStyle name="Output 2 2 3 2 2" xfId="21273" xr:uid="{48163D30-BA3F-433E-B8F1-49AA079AC404}"/>
    <cellStyle name="Output 2 2 3 3" xfId="20558" xr:uid="{00000000-0005-0000-0000-000052500000}"/>
    <cellStyle name="Output 2 2 3 3 2" xfId="21274" xr:uid="{7513BD1A-2E14-4150-9A96-68E85DB14713}"/>
    <cellStyle name="Output 2 2 3 4" xfId="20559" xr:uid="{00000000-0005-0000-0000-000053500000}"/>
    <cellStyle name="Output 2 2 3 4 2" xfId="21275" xr:uid="{CE850935-5E48-4DC6-AB08-6AAB4DAECB73}"/>
    <cellStyle name="Output 2 2 3 5" xfId="21272" xr:uid="{764B022A-5174-4C9A-B72F-8C053BC2B36D}"/>
    <cellStyle name="Output 2 2 4" xfId="20560" xr:uid="{00000000-0005-0000-0000-000054500000}"/>
    <cellStyle name="Output 2 2 4 2" xfId="20561" xr:uid="{00000000-0005-0000-0000-000055500000}"/>
    <cellStyle name="Output 2 2 4 2 2" xfId="21277" xr:uid="{778225E0-371E-447A-89DD-2294E915ED56}"/>
    <cellStyle name="Output 2 2 4 3" xfId="20562" xr:uid="{00000000-0005-0000-0000-000056500000}"/>
    <cellStyle name="Output 2 2 4 3 2" xfId="21278" xr:uid="{E052DBA9-23D0-4B1B-A486-ABCBA85578AF}"/>
    <cellStyle name="Output 2 2 4 4" xfId="20563" xr:uid="{00000000-0005-0000-0000-000057500000}"/>
    <cellStyle name="Output 2 2 4 4 2" xfId="21279" xr:uid="{471EB408-226E-4CAE-8B85-ECD9FEEC256E}"/>
    <cellStyle name="Output 2 2 4 5" xfId="21276" xr:uid="{5878847F-A85B-4EA9-88E0-CFDB3F4A1E4E}"/>
    <cellStyle name="Output 2 2 5" xfId="20564" xr:uid="{00000000-0005-0000-0000-000058500000}"/>
    <cellStyle name="Output 2 2 5 2" xfId="20565" xr:uid="{00000000-0005-0000-0000-000059500000}"/>
    <cellStyle name="Output 2 2 5 2 2" xfId="21281" xr:uid="{0A2E9475-DDA2-4895-BACB-FC5081F7A3BC}"/>
    <cellStyle name="Output 2 2 5 3" xfId="20566" xr:uid="{00000000-0005-0000-0000-00005A500000}"/>
    <cellStyle name="Output 2 2 5 3 2" xfId="21282" xr:uid="{57093A64-7E1F-44BF-BB2F-AD0D286BDD77}"/>
    <cellStyle name="Output 2 2 5 4" xfId="20567" xr:uid="{00000000-0005-0000-0000-00005B500000}"/>
    <cellStyle name="Output 2 2 5 4 2" xfId="21283" xr:uid="{3991C8DB-5C61-4294-AB1C-0527BC7FEC96}"/>
    <cellStyle name="Output 2 2 5 5" xfId="21280" xr:uid="{487B59A7-6067-431F-8583-A125A18C2657}"/>
    <cellStyle name="Output 2 2 6" xfId="20568" xr:uid="{00000000-0005-0000-0000-00005C500000}"/>
    <cellStyle name="Output 2 2 6 2" xfId="21284" xr:uid="{25D5E190-E2F1-4E83-B67D-4A8E0A699D0F}"/>
    <cellStyle name="Output 2 2 7" xfId="20569" xr:uid="{00000000-0005-0000-0000-00005D500000}"/>
    <cellStyle name="Output 2 2 7 2" xfId="21285" xr:uid="{86166AA5-DB63-413D-BD58-F8A8AFDAD564}"/>
    <cellStyle name="Output 2 2 8" xfId="20570" xr:uid="{00000000-0005-0000-0000-00005E500000}"/>
    <cellStyle name="Output 2 2 8 2" xfId="21286" xr:uid="{9BA67C72-48A6-4B0A-95E9-1A91FF688518}"/>
    <cellStyle name="Output 2 2 9" xfId="20571" xr:uid="{00000000-0005-0000-0000-00005F500000}"/>
    <cellStyle name="Output 2 2 9 2" xfId="21287" xr:uid="{04ACC5F8-C4D6-49E7-B408-21F56130C0B9}"/>
    <cellStyle name="Output 2 3" xfId="20572" xr:uid="{00000000-0005-0000-0000-000060500000}"/>
    <cellStyle name="Output 2 3 2" xfId="20573" xr:uid="{00000000-0005-0000-0000-000061500000}"/>
    <cellStyle name="Output 2 3 2 2" xfId="21288" xr:uid="{7F977E23-667A-4FC5-B5D7-7D0979A00114}"/>
    <cellStyle name="Output 2 3 3" xfId="20574" xr:uid="{00000000-0005-0000-0000-000062500000}"/>
    <cellStyle name="Output 2 3 3 2" xfId="21289" xr:uid="{B091516E-FD1F-437D-8F49-AF0847313883}"/>
    <cellStyle name="Output 2 3 4" xfId="20575" xr:uid="{00000000-0005-0000-0000-000063500000}"/>
    <cellStyle name="Output 2 3 4 2" xfId="21290" xr:uid="{3ABCE2E6-7BDF-468D-AB71-44419233BCE0}"/>
    <cellStyle name="Output 2 3 5" xfId="20576" xr:uid="{00000000-0005-0000-0000-000064500000}"/>
    <cellStyle name="Output 2 3 5 2" xfId="21291" xr:uid="{26944312-69AE-48A6-B30F-073D568222CF}"/>
    <cellStyle name="Output 2 4" xfId="20577" xr:uid="{00000000-0005-0000-0000-000065500000}"/>
    <cellStyle name="Output 2 4 2" xfId="20578" xr:uid="{00000000-0005-0000-0000-000066500000}"/>
    <cellStyle name="Output 2 4 2 2" xfId="21292" xr:uid="{1B30552D-3B47-4909-B51C-F304BF960F63}"/>
    <cellStyle name="Output 2 4 3" xfId="20579" xr:uid="{00000000-0005-0000-0000-000067500000}"/>
    <cellStyle name="Output 2 4 3 2" xfId="21293" xr:uid="{B694C594-AEF9-43F1-90C5-6F64238C8AAC}"/>
    <cellStyle name="Output 2 4 4" xfId="20580" xr:uid="{00000000-0005-0000-0000-000068500000}"/>
    <cellStyle name="Output 2 4 4 2" xfId="21294" xr:uid="{3763FA1C-2FE1-432E-8B5C-7E023C6B714B}"/>
    <cellStyle name="Output 2 4 5" xfId="20581" xr:uid="{00000000-0005-0000-0000-000069500000}"/>
    <cellStyle name="Output 2 4 5 2" xfId="21295" xr:uid="{AE224230-FFD2-4E6A-8C78-EF6111ACA803}"/>
    <cellStyle name="Output 2 5" xfId="20582" xr:uid="{00000000-0005-0000-0000-00006A500000}"/>
    <cellStyle name="Output 2 5 2" xfId="20583" xr:uid="{00000000-0005-0000-0000-00006B500000}"/>
    <cellStyle name="Output 2 5 2 2" xfId="21296" xr:uid="{925FD4FB-558E-4FF0-BE3D-4F4ACF0965F5}"/>
    <cellStyle name="Output 2 5 3" xfId="20584" xr:uid="{00000000-0005-0000-0000-00006C500000}"/>
    <cellStyle name="Output 2 5 3 2" xfId="21297" xr:uid="{44CC2745-2A92-40DA-8B58-D50B6A05E98E}"/>
    <cellStyle name="Output 2 5 4" xfId="20585" xr:uid="{00000000-0005-0000-0000-00006D500000}"/>
    <cellStyle name="Output 2 5 4 2" xfId="21298" xr:uid="{7AAAF21C-8C02-4A6C-87A7-63B972E8A38C}"/>
    <cellStyle name="Output 2 5 5" xfId="20586" xr:uid="{00000000-0005-0000-0000-00006E500000}"/>
    <cellStyle name="Output 2 5 5 2" xfId="21299" xr:uid="{A47EED58-291F-4014-8236-623A76EC4199}"/>
    <cellStyle name="Output 2 6" xfId="20587" xr:uid="{00000000-0005-0000-0000-00006F500000}"/>
    <cellStyle name="Output 2 6 2" xfId="20588" xr:uid="{00000000-0005-0000-0000-000070500000}"/>
    <cellStyle name="Output 2 6 2 2" xfId="21300" xr:uid="{05DBBA08-4322-4052-9733-2431D4D6471C}"/>
    <cellStyle name="Output 2 6 3" xfId="20589" xr:uid="{00000000-0005-0000-0000-000071500000}"/>
    <cellStyle name="Output 2 6 3 2" xfId="21301" xr:uid="{0C7B4CC3-9699-49C9-9BE7-86A7CED83518}"/>
    <cellStyle name="Output 2 6 4" xfId="20590" xr:uid="{00000000-0005-0000-0000-000072500000}"/>
    <cellStyle name="Output 2 6 4 2" xfId="21302" xr:uid="{F6800B0E-5F4F-47BF-977E-3AA2387618FD}"/>
    <cellStyle name="Output 2 6 5" xfId="20591" xr:uid="{00000000-0005-0000-0000-000073500000}"/>
    <cellStyle name="Output 2 6 5 2" xfId="21303" xr:uid="{9AF745BA-56B6-453E-8B92-177726E3868E}"/>
    <cellStyle name="Output 2 7" xfId="20592" xr:uid="{00000000-0005-0000-0000-000074500000}"/>
    <cellStyle name="Output 2 7 2" xfId="20593" xr:uid="{00000000-0005-0000-0000-000075500000}"/>
    <cellStyle name="Output 2 7 2 2" xfId="21304" xr:uid="{808A8357-E581-46E9-B802-56CFC20FF3ED}"/>
    <cellStyle name="Output 2 7 3" xfId="20594" xr:uid="{00000000-0005-0000-0000-000076500000}"/>
    <cellStyle name="Output 2 7 3 2" xfId="21305" xr:uid="{EDD5C3A4-842B-4590-B662-D3C9A46B6156}"/>
    <cellStyle name="Output 2 7 4" xfId="20595" xr:uid="{00000000-0005-0000-0000-000077500000}"/>
    <cellStyle name="Output 2 7 4 2" xfId="21306" xr:uid="{76DB20A9-446D-438E-BD3A-FE5AF2DE41C6}"/>
    <cellStyle name="Output 2 7 5" xfId="20596" xr:uid="{00000000-0005-0000-0000-000078500000}"/>
    <cellStyle name="Output 2 7 5 2" xfId="21307" xr:uid="{554A1089-908C-47CE-93B4-8839849F0049}"/>
    <cellStyle name="Output 2 8" xfId="20597" xr:uid="{00000000-0005-0000-0000-000079500000}"/>
    <cellStyle name="Output 2 8 2" xfId="20598" xr:uid="{00000000-0005-0000-0000-00007A500000}"/>
    <cellStyle name="Output 2 8 2 2" xfId="21308" xr:uid="{8746D89D-180A-4692-BCD6-FF42617186CD}"/>
    <cellStyle name="Output 2 8 3" xfId="20599" xr:uid="{00000000-0005-0000-0000-00007B500000}"/>
    <cellStyle name="Output 2 8 3 2" xfId="21309" xr:uid="{D25A0C48-673F-4C51-A304-3E98ADEDD89C}"/>
    <cellStyle name="Output 2 8 4" xfId="20600" xr:uid="{00000000-0005-0000-0000-00007C500000}"/>
    <cellStyle name="Output 2 8 4 2" xfId="21310" xr:uid="{91FDB791-961F-419B-B3EA-AEC3F11E2158}"/>
    <cellStyle name="Output 2 8 5" xfId="20601" xr:uid="{00000000-0005-0000-0000-00007D500000}"/>
    <cellStyle name="Output 2 8 5 2" xfId="21311" xr:uid="{2A6C2894-A57E-43AC-883E-E9027B9447C6}"/>
    <cellStyle name="Output 2 9" xfId="20602" xr:uid="{00000000-0005-0000-0000-00007E500000}"/>
    <cellStyle name="Output 2 9 2" xfId="20603" xr:uid="{00000000-0005-0000-0000-00007F500000}"/>
    <cellStyle name="Output 2 9 2 2" xfId="21312" xr:uid="{A9A5D489-79F3-4A85-87F9-B654ED5513F2}"/>
    <cellStyle name="Output 2 9 3" xfId="20604" xr:uid="{00000000-0005-0000-0000-000080500000}"/>
    <cellStyle name="Output 2 9 3 2" xfId="21313" xr:uid="{901F4D31-156C-4C3E-B7DC-E199F1082305}"/>
    <cellStyle name="Output 2 9 4" xfId="20605" xr:uid="{00000000-0005-0000-0000-000081500000}"/>
    <cellStyle name="Output 2 9 4 2" xfId="21314" xr:uid="{9D6AFB85-5121-4BF7-98E5-8D6505E105FD}"/>
    <cellStyle name="Output 2 9 5" xfId="20606" xr:uid="{00000000-0005-0000-0000-000082500000}"/>
    <cellStyle name="Output 2 9 5 2" xfId="21315" xr:uid="{95934A18-3B31-4BC4-BA5C-5E88646279AE}"/>
    <cellStyle name="Output 3" xfId="20607" xr:uid="{00000000-0005-0000-0000-000083500000}"/>
    <cellStyle name="Output 3 2" xfId="20608" xr:uid="{00000000-0005-0000-0000-000084500000}"/>
    <cellStyle name="Output 3 2 2" xfId="21317" xr:uid="{4F1996EE-4620-4032-8DE6-D81A747F3247}"/>
    <cellStyle name="Output 3 3" xfId="20609" xr:uid="{00000000-0005-0000-0000-000085500000}"/>
    <cellStyle name="Output 3 3 2" xfId="21318" xr:uid="{E0D57659-C2A2-4F16-9D7F-62D8B92D42BF}"/>
    <cellStyle name="Output 3 4" xfId="21316" xr:uid="{524D6512-E5F7-4C44-9F58-CF1193F34268}"/>
    <cellStyle name="Output 4" xfId="20610" xr:uid="{00000000-0005-0000-0000-000086500000}"/>
    <cellStyle name="Output 4 2" xfId="20611" xr:uid="{00000000-0005-0000-0000-000087500000}"/>
    <cellStyle name="Output 4 2 2" xfId="21320" xr:uid="{E55D5349-E2A5-494F-B4EE-C1AD090C4C10}"/>
    <cellStyle name="Output 4 3" xfId="20612" xr:uid="{00000000-0005-0000-0000-000088500000}"/>
    <cellStyle name="Output 4 3 2" xfId="21321" xr:uid="{6F048BC0-8FFB-4977-AEEF-1A46B59C7869}"/>
    <cellStyle name="Output 4 4" xfId="21319" xr:uid="{D56E6B5B-A2A7-41A0-9F33-2BD29ED1B4CB}"/>
    <cellStyle name="Output 5" xfId="20613" xr:uid="{00000000-0005-0000-0000-000089500000}"/>
    <cellStyle name="Output 5 2" xfId="20614" xr:uid="{00000000-0005-0000-0000-00008A500000}"/>
    <cellStyle name="Output 5 2 2" xfId="21323" xr:uid="{8F572BCE-B4DF-4302-A113-53F7D3DEAB5B}"/>
    <cellStyle name="Output 5 3" xfId="20615" xr:uid="{00000000-0005-0000-0000-00008B500000}"/>
    <cellStyle name="Output 5 3 2" xfId="21324" xr:uid="{121D6AD0-C5C2-448A-AB67-872B4BE11DF2}"/>
    <cellStyle name="Output 5 4" xfId="21322" xr:uid="{63B2FE7C-0CDF-479F-8011-C00F3F5BC1C1}"/>
    <cellStyle name="Output 6" xfId="20616" xr:uid="{00000000-0005-0000-0000-00008C500000}"/>
    <cellStyle name="Output 6 2" xfId="20617" xr:uid="{00000000-0005-0000-0000-00008D500000}"/>
    <cellStyle name="Output 6 2 2" xfId="21326" xr:uid="{9A3641D2-B67C-4459-806D-73BC4F6BF09A}"/>
    <cellStyle name="Output 6 3" xfId="20618" xr:uid="{00000000-0005-0000-0000-00008E500000}"/>
    <cellStyle name="Output 6 3 2" xfId="21327" xr:uid="{E9F9E1D8-55A8-4621-883B-951EE523EE0D}"/>
    <cellStyle name="Output 6 4" xfId="21325" xr:uid="{4AFECF4A-2559-4174-A2A3-958106BAE4D7}"/>
    <cellStyle name="Output 7" xfId="20619" xr:uid="{00000000-0005-0000-0000-00008F500000}"/>
    <cellStyle name="Output 7 2" xfId="21328" xr:uid="{1A3D924A-A072-4267-BB18-2E00CE14CE23}"/>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Exposure 2" xfId="21329" xr:uid="{7665B05A-5AE9-4CBC-A200-E3EF43DF08C5}"/>
    <cellStyle name="showParameterE" xfId="20787" xr:uid="{00000000-0005-0000-0000-00003A510000}"/>
    <cellStyle name="showParameterE 2" xfId="21330" xr:uid="{E7C01A1F-F4D6-4C28-AEB5-57E838F5273B}"/>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2 2" xfId="21332" xr:uid="{2F98C1F8-C7A1-46E0-B9C6-6D95A6ADB199}"/>
    <cellStyle name="Total 2 10 3" xfId="20826" xr:uid="{00000000-0005-0000-0000-000061510000}"/>
    <cellStyle name="Total 2 10 3 2" xfId="21333" xr:uid="{6AED74F9-9842-48CC-8B47-7ABF5848F678}"/>
    <cellStyle name="Total 2 10 4" xfId="20827" xr:uid="{00000000-0005-0000-0000-000062510000}"/>
    <cellStyle name="Total 2 10 4 2" xfId="21334" xr:uid="{41E6938D-0A22-4EFF-A83F-A049FF8FE4E5}"/>
    <cellStyle name="Total 2 10 5" xfId="20828" xr:uid="{00000000-0005-0000-0000-000063510000}"/>
    <cellStyle name="Total 2 10 5 2" xfId="21335" xr:uid="{08548658-233D-49C6-8564-ED59E3D2FBD5}"/>
    <cellStyle name="Total 2 11" xfId="20829" xr:uid="{00000000-0005-0000-0000-000064510000}"/>
    <cellStyle name="Total 2 11 2" xfId="20830" xr:uid="{00000000-0005-0000-0000-000065510000}"/>
    <cellStyle name="Total 2 11 2 2" xfId="21337" xr:uid="{D31AF341-2834-4971-92D0-B8BC42C81BB0}"/>
    <cellStyle name="Total 2 11 3" xfId="20831" xr:uid="{00000000-0005-0000-0000-000066510000}"/>
    <cellStyle name="Total 2 11 3 2" xfId="21338" xr:uid="{A7B0FCDD-8073-4BEA-AE91-359DECF2BE6A}"/>
    <cellStyle name="Total 2 11 4" xfId="20832" xr:uid="{00000000-0005-0000-0000-000067510000}"/>
    <cellStyle name="Total 2 11 4 2" xfId="21339" xr:uid="{0A856BC8-7DA6-4A2A-838C-6BAD95E8AE2F}"/>
    <cellStyle name="Total 2 11 5" xfId="20833" xr:uid="{00000000-0005-0000-0000-000068510000}"/>
    <cellStyle name="Total 2 11 5 2" xfId="21340" xr:uid="{D9CBE8C9-2005-488B-B077-CC9514E8BEA6}"/>
    <cellStyle name="Total 2 11 6" xfId="21336" xr:uid="{20545232-4BC5-47AA-90A9-434A01F91F03}"/>
    <cellStyle name="Total 2 12" xfId="20834" xr:uid="{00000000-0005-0000-0000-000069510000}"/>
    <cellStyle name="Total 2 12 2" xfId="20835" xr:uid="{00000000-0005-0000-0000-00006A510000}"/>
    <cellStyle name="Total 2 12 2 2" xfId="21342" xr:uid="{2C61872D-AFCE-4747-A69C-691E9A6E86B2}"/>
    <cellStyle name="Total 2 12 3" xfId="20836" xr:uid="{00000000-0005-0000-0000-00006B510000}"/>
    <cellStyle name="Total 2 12 3 2" xfId="21343" xr:uid="{2D3E6D13-0963-42A5-BD0F-5293820565DC}"/>
    <cellStyle name="Total 2 12 4" xfId="20837" xr:uid="{00000000-0005-0000-0000-00006C510000}"/>
    <cellStyle name="Total 2 12 4 2" xfId="21344" xr:uid="{31259D00-4834-4F92-B5BB-662A85883F34}"/>
    <cellStyle name="Total 2 12 5" xfId="20838" xr:uid="{00000000-0005-0000-0000-00006D510000}"/>
    <cellStyle name="Total 2 12 5 2" xfId="21345" xr:uid="{D70764FE-77EB-4F72-9810-E3AAFFAB518E}"/>
    <cellStyle name="Total 2 12 6" xfId="21341" xr:uid="{BC8496DE-9528-4EB5-9892-C38BEDF433FE}"/>
    <cellStyle name="Total 2 13" xfId="20839" xr:uid="{00000000-0005-0000-0000-00006E510000}"/>
    <cellStyle name="Total 2 13 2" xfId="20840" xr:uid="{00000000-0005-0000-0000-00006F510000}"/>
    <cellStyle name="Total 2 13 2 2" xfId="21347" xr:uid="{809F5975-46C5-4B49-936F-AC3B40A17D83}"/>
    <cellStyle name="Total 2 13 3" xfId="20841" xr:uid="{00000000-0005-0000-0000-000070510000}"/>
    <cellStyle name="Total 2 13 3 2" xfId="21348" xr:uid="{B4D36538-0004-427E-91D0-F9E0DC2676FD}"/>
    <cellStyle name="Total 2 13 4" xfId="20842" xr:uid="{00000000-0005-0000-0000-000071510000}"/>
    <cellStyle name="Total 2 13 4 2" xfId="21349" xr:uid="{4B4DCF74-75B4-4E85-87EA-0429BC1C1B8E}"/>
    <cellStyle name="Total 2 13 5" xfId="21346" xr:uid="{E816E5E5-9561-4736-A439-20F80133EED9}"/>
    <cellStyle name="Total 2 14" xfId="20843" xr:uid="{00000000-0005-0000-0000-000072510000}"/>
    <cellStyle name="Total 2 14 2" xfId="21350" xr:uid="{3EA94F37-4E69-41C9-9C94-2756A7E46E85}"/>
    <cellStyle name="Total 2 15" xfId="20844" xr:uid="{00000000-0005-0000-0000-000073510000}"/>
    <cellStyle name="Total 2 15 2" xfId="21351" xr:uid="{23B557F0-732C-4483-8A8F-60A268C1D655}"/>
    <cellStyle name="Total 2 16" xfId="20845" xr:uid="{00000000-0005-0000-0000-000074510000}"/>
    <cellStyle name="Total 2 16 2" xfId="21352" xr:uid="{DD9903D6-7DB8-4B39-9C3F-604CA8698A11}"/>
    <cellStyle name="Total 2 17" xfId="21331" xr:uid="{9F07CD12-ECD1-4948-8010-BB44B4D195C8}"/>
    <cellStyle name="Total 2 2" xfId="20846" xr:uid="{00000000-0005-0000-0000-000075510000}"/>
    <cellStyle name="Total 2 2 10" xfId="21353" xr:uid="{FD4AEBAC-66A4-4919-AC4B-9BD52A678506}"/>
    <cellStyle name="Total 2 2 2" xfId="20847" xr:uid="{00000000-0005-0000-0000-000076510000}"/>
    <cellStyle name="Total 2 2 2 2" xfId="20848" xr:uid="{00000000-0005-0000-0000-000077510000}"/>
    <cellStyle name="Total 2 2 2 2 2" xfId="21355" xr:uid="{7D2F0B5C-676A-4053-9A33-F48882E7F2B0}"/>
    <cellStyle name="Total 2 2 2 3" xfId="20849" xr:uid="{00000000-0005-0000-0000-000078510000}"/>
    <cellStyle name="Total 2 2 2 3 2" xfId="21356" xr:uid="{80CCB914-F8ED-425B-802E-E4DF3AFF1ED9}"/>
    <cellStyle name="Total 2 2 2 4" xfId="20850" xr:uid="{00000000-0005-0000-0000-000079510000}"/>
    <cellStyle name="Total 2 2 2 4 2" xfId="21357" xr:uid="{9799ED21-23D1-4FCE-9F76-9515CD47FC42}"/>
    <cellStyle name="Total 2 2 2 5" xfId="21354" xr:uid="{DAC1D1E7-E2BE-4155-A66B-0FC1A6C66F9A}"/>
    <cellStyle name="Total 2 2 3" xfId="20851" xr:uid="{00000000-0005-0000-0000-00007A510000}"/>
    <cellStyle name="Total 2 2 3 2" xfId="20852" xr:uid="{00000000-0005-0000-0000-00007B510000}"/>
    <cellStyle name="Total 2 2 3 2 2" xfId="21359" xr:uid="{D2416D30-01E3-485E-8FD4-2662A598BF3F}"/>
    <cellStyle name="Total 2 2 3 3" xfId="20853" xr:uid="{00000000-0005-0000-0000-00007C510000}"/>
    <cellStyle name="Total 2 2 3 3 2" xfId="21360" xr:uid="{F3AA4588-A4C9-40BC-B1C4-DF9F187C6021}"/>
    <cellStyle name="Total 2 2 3 4" xfId="20854" xr:uid="{00000000-0005-0000-0000-00007D510000}"/>
    <cellStyle name="Total 2 2 3 4 2" xfId="21361" xr:uid="{DC752765-0C68-4B06-B17C-2A24C7D6B640}"/>
    <cellStyle name="Total 2 2 3 5" xfId="21358" xr:uid="{F77CCAC2-296A-4103-8AD5-2E39815F040B}"/>
    <cellStyle name="Total 2 2 4" xfId="20855" xr:uid="{00000000-0005-0000-0000-00007E510000}"/>
    <cellStyle name="Total 2 2 4 2" xfId="20856" xr:uid="{00000000-0005-0000-0000-00007F510000}"/>
    <cellStyle name="Total 2 2 4 2 2" xfId="21363" xr:uid="{3EB56AE3-0557-4391-A813-A1DB687765B2}"/>
    <cellStyle name="Total 2 2 4 3" xfId="20857" xr:uid="{00000000-0005-0000-0000-000080510000}"/>
    <cellStyle name="Total 2 2 4 3 2" xfId="21364" xr:uid="{61F63D6E-B55B-4B68-B584-3CCBB53D3915}"/>
    <cellStyle name="Total 2 2 4 4" xfId="20858" xr:uid="{00000000-0005-0000-0000-000081510000}"/>
    <cellStyle name="Total 2 2 4 4 2" xfId="21365" xr:uid="{28A3E471-44D6-4FE0-938F-F7EDA2D44087}"/>
    <cellStyle name="Total 2 2 4 5" xfId="21362" xr:uid="{41560AB3-3DF5-406D-91EA-1E3E1E717C28}"/>
    <cellStyle name="Total 2 2 5" xfId="20859" xr:uid="{00000000-0005-0000-0000-000082510000}"/>
    <cellStyle name="Total 2 2 5 2" xfId="20860" xr:uid="{00000000-0005-0000-0000-000083510000}"/>
    <cellStyle name="Total 2 2 5 2 2" xfId="21367" xr:uid="{3CF4B29E-CECF-44FA-84A0-1078AB9BAFEA}"/>
    <cellStyle name="Total 2 2 5 3" xfId="20861" xr:uid="{00000000-0005-0000-0000-000084510000}"/>
    <cellStyle name="Total 2 2 5 3 2" xfId="21368" xr:uid="{9C2ED146-36D9-4E15-B8F5-260D4F82853A}"/>
    <cellStyle name="Total 2 2 5 4" xfId="20862" xr:uid="{00000000-0005-0000-0000-000085510000}"/>
    <cellStyle name="Total 2 2 5 4 2" xfId="21369" xr:uid="{FF1D510F-6FDE-4CA9-9058-D3A47A754ABE}"/>
    <cellStyle name="Total 2 2 5 5" xfId="21366" xr:uid="{69134996-7430-41F3-85F0-2BE9D6FA8483}"/>
    <cellStyle name="Total 2 2 6" xfId="20863" xr:uid="{00000000-0005-0000-0000-000086510000}"/>
    <cellStyle name="Total 2 2 6 2" xfId="21370" xr:uid="{9AD876F0-BC02-4BF0-A470-144C13934DFD}"/>
    <cellStyle name="Total 2 2 7" xfId="20864" xr:uid="{00000000-0005-0000-0000-000087510000}"/>
    <cellStyle name="Total 2 2 7 2" xfId="21371" xr:uid="{C3CE561A-F8F9-4AAF-A885-7F14360E98D7}"/>
    <cellStyle name="Total 2 2 8" xfId="20865" xr:uid="{00000000-0005-0000-0000-000088510000}"/>
    <cellStyle name="Total 2 2 8 2" xfId="21372" xr:uid="{0A1E9F55-CE38-44AD-AC81-47FEA19E90FA}"/>
    <cellStyle name="Total 2 2 9" xfId="20866" xr:uid="{00000000-0005-0000-0000-000089510000}"/>
    <cellStyle name="Total 2 2 9 2" xfId="21373" xr:uid="{C2EA33BC-9D42-4E82-ADD4-5269460A8E54}"/>
    <cellStyle name="Total 2 3" xfId="20867" xr:uid="{00000000-0005-0000-0000-00008A510000}"/>
    <cellStyle name="Total 2 3 2" xfId="20868" xr:uid="{00000000-0005-0000-0000-00008B510000}"/>
    <cellStyle name="Total 2 3 2 2" xfId="21374" xr:uid="{522DE31F-818A-4975-97A5-92C88ACAD7BB}"/>
    <cellStyle name="Total 2 3 3" xfId="20869" xr:uid="{00000000-0005-0000-0000-00008C510000}"/>
    <cellStyle name="Total 2 3 3 2" xfId="21375" xr:uid="{9DF8341B-2C5A-4590-8A3F-51ED88974C94}"/>
    <cellStyle name="Total 2 3 4" xfId="20870" xr:uid="{00000000-0005-0000-0000-00008D510000}"/>
    <cellStyle name="Total 2 3 4 2" xfId="21376" xr:uid="{94C309A9-BAAC-40C5-9D77-B63F12A4066D}"/>
    <cellStyle name="Total 2 3 5" xfId="20871" xr:uid="{00000000-0005-0000-0000-00008E510000}"/>
    <cellStyle name="Total 2 3 5 2" xfId="21377" xr:uid="{6E423313-4847-4E25-883B-FEF4809768B8}"/>
    <cellStyle name="Total 2 4" xfId="20872" xr:uid="{00000000-0005-0000-0000-00008F510000}"/>
    <cellStyle name="Total 2 4 2" xfId="20873" xr:uid="{00000000-0005-0000-0000-000090510000}"/>
    <cellStyle name="Total 2 4 2 2" xfId="21378" xr:uid="{10D45DD3-839D-4431-BFB1-0AA118927238}"/>
    <cellStyle name="Total 2 4 3" xfId="20874" xr:uid="{00000000-0005-0000-0000-000091510000}"/>
    <cellStyle name="Total 2 4 3 2" xfId="21379" xr:uid="{5FBA5F52-75E8-41A3-B59E-0A7D409FE0EF}"/>
    <cellStyle name="Total 2 4 4" xfId="20875" xr:uid="{00000000-0005-0000-0000-000092510000}"/>
    <cellStyle name="Total 2 4 4 2" xfId="21380" xr:uid="{D183B844-61D0-4A44-874F-3D3CE63CFD22}"/>
    <cellStyle name="Total 2 4 5" xfId="20876" xr:uid="{00000000-0005-0000-0000-000093510000}"/>
    <cellStyle name="Total 2 4 5 2" xfId="21381" xr:uid="{9A923396-F955-4BB1-9163-E111A16BE889}"/>
    <cellStyle name="Total 2 5" xfId="20877" xr:uid="{00000000-0005-0000-0000-000094510000}"/>
    <cellStyle name="Total 2 5 2" xfId="20878" xr:uid="{00000000-0005-0000-0000-000095510000}"/>
    <cellStyle name="Total 2 5 2 2" xfId="21382" xr:uid="{F115D424-F790-4609-BD04-D2E87DCA651E}"/>
    <cellStyle name="Total 2 5 3" xfId="20879" xr:uid="{00000000-0005-0000-0000-000096510000}"/>
    <cellStyle name="Total 2 5 3 2" xfId="21383" xr:uid="{E717E357-143F-4552-B5FA-6EDFDB2D4E6C}"/>
    <cellStyle name="Total 2 5 4" xfId="20880" xr:uid="{00000000-0005-0000-0000-000097510000}"/>
    <cellStyle name="Total 2 5 4 2" xfId="21384" xr:uid="{87C0E0CF-FCE5-407F-90FC-019EF94DF6D4}"/>
    <cellStyle name="Total 2 5 5" xfId="20881" xr:uid="{00000000-0005-0000-0000-000098510000}"/>
    <cellStyle name="Total 2 5 5 2" xfId="21385" xr:uid="{774396AF-C3B2-4CDE-AB6D-6AA88F39E1F5}"/>
    <cellStyle name="Total 2 6" xfId="20882" xr:uid="{00000000-0005-0000-0000-000099510000}"/>
    <cellStyle name="Total 2 6 2" xfId="20883" xr:uid="{00000000-0005-0000-0000-00009A510000}"/>
    <cellStyle name="Total 2 6 2 2" xfId="21386" xr:uid="{D26B859A-8ABC-4D49-9B07-762CB71EE0C7}"/>
    <cellStyle name="Total 2 6 3" xfId="20884" xr:uid="{00000000-0005-0000-0000-00009B510000}"/>
    <cellStyle name="Total 2 6 3 2" xfId="21387" xr:uid="{E46B47A5-CF62-4A48-969C-86187592E393}"/>
    <cellStyle name="Total 2 6 4" xfId="20885" xr:uid="{00000000-0005-0000-0000-00009C510000}"/>
    <cellStyle name="Total 2 6 4 2" xfId="21388" xr:uid="{ED4C37C1-7F56-48B8-BBF4-AB208593F1E6}"/>
    <cellStyle name="Total 2 6 5" xfId="20886" xr:uid="{00000000-0005-0000-0000-00009D510000}"/>
    <cellStyle name="Total 2 6 5 2" xfId="21389" xr:uid="{4AF67481-7AD5-4206-BA2C-1E89E95C8D88}"/>
    <cellStyle name="Total 2 7" xfId="20887" xr:uid="{00000000-0005-0000-0000-00009E510000}"/>
    <cellStyle name="Total 2 7 2" xfId="20888" xr:uid="{00000000-0005-0000-0000-00009F510000}"/>
    <cellStyle name="Total 2 7 2 2" xfId="21390" xr:uid="{155D16D9-BF3B-4420-9EEE-0B1B532535B9}"/>
    <cellStyle name="Total 2 7 3" xfId="20889" xr:uid="{00000000-0005-0000-0000-0000A0510000}"/>
    <cellStyle name="Total 2 7 3 2" xfId="21391" xr:uid="{FAD361A9-C09F-4FA6-ACF1-4E8816EAA580}"/>
    <cellStyle name="Total 2 7 4" xfId="20890" xr:uid="{00000000-0005-0000-0000-0000A1510000}"/>
    <cellStyle name="Total 2 7 4 2" xfId="21392" xr:uid="{699DA884-D4D3-4E39-B85B-68B1F8D2F9DC}"/>
    <cellStyle name="Total 2 7 5" xfId="20891" xr:uid="{00000000-0005-0000-0000-0000A2510000}"/>
    <cellStyle name="Total 2 7 5 2" xfId="21393" xr:uid="{8CA78E31-0249-4EDD-B913-E661ED2AC96B}"/>
    <cellStyle name="Total 2 8" xfId="20892" xr:uid="{00000000-0005-0000-0000-0000A3510000}"/>
    <cellStyle name="Total 2 8 2" xfId="20893" xr:uid="{00000000-0005-0000-0000-0000A4510000}"/>
    <cellStyle name="Total 2 8 2 2" xfId="21394" xr:uid="{39433CB0-0655-4958-9650-C960A8B24926}"/>
    <cellStyle name="Total 2 8 3" xfId="20894" xr:uid="{00000000-0005-0000-0000-0000A5510000}"/>
    <cellStyle name="Total 2 8 3 2" xfId="21395" xr:uid="{D1556974-ACD0-468C-AFA8-F4D19D500B91}"/>
    <cellStyle name="Total 2 8 4" xfId="20895" xr:uid="{00000000-0005-0000-0000-0000A6510000}"/>
    <cellStyle name="Total 2 8 4 2" xfId="21396" xr:uid="{8F88E624-D044-4A8B-BCA7-899DDC916536}"/>
    <cellStyle name="Total 2 8 5" xfId="20896" xr:uid="{00000000-0005-0000-0000-0000A7510000}"/>
    <cellStyle name="Total 2 8 5 2" xfId="21397" xr:uid="{5BA44154-8583-4CBF-A1F1-2F84E831BD71}"/>
    <cellStyle name="Total 2 9" xfId="20897" xr:uid="{00000000-0005-0000-0000-0000A8510000}"/>
    <cellStyle name="Total 2 9 2" xfId="20898" xr:uid="{00000000-0005-0000-0000-0000A9510000}"/>
    <cellStyle name="Total 2 9 2 2" xfId="21398" xr:uid="{BA4C7DB0-B9C1-41BA-924F-40A20C9AEEE5}"/>
    <cellStyle name="Total 2 9 3" xfId="20899" xr:uid="{00000000-0005-0000-0000-0000AA510000}"/>
    <cellStyle name="Total 2 9 3 2" xfId="21399" xr:uid="{557AB164-53A1-4FD4-8BD5-78C32EED2AE2}"/>
    <cellStyle name="Total 2 9 4" xfId="20900" xr:uid="{00000000-0005-0000-0000-0000AB510000}"/>
    <cellStyle name="Total 2 9 4 2" xfId="21400" xr:uid="{5745BF7C-A38B-4822-832F-F885E8A7A9BB}"/>
    <cellStyle name="Total 2 9 5" xfId="20901" xr:uid="{00000000-0005-0000-0000-0000AC510000}"/>
    <cellStyle name="Total 2 9 5 2" xfId="21401" xr:uid="{603FE112-E182-4A8F-B9CC-B0FF376EEC1B}"/>
    <cellStyle name="Total 3" xfId="20902" xr:uid="{00000000-0005-0000-0000-0000AD510000}"/>
    <cellStyle name="Total 3 2" xfId="20903" xr:uid="{00000000-0005-0000-0000-0000AE510000}"/>
    <cellStyle name="Total 3 2 2" xfId="21403" xr:uid="{3F6590EB-AC8E-4866-939B-049AFEBB6A24}"/>
    <cellStyle name="Total 3 3" xfId="20904" xr:uid="{00000000-0005-0000-0000-0000AF510000}"/>
    <cellStyle name="Total 3 3 2" xfId="21404" xr:uid="{15A0BB1A-2A0A-4D27-BDC8-3601C3E4F023}"/>
    <cellStyle name="Total 3 4" xfId="21402" xr:uid="{27EF4546-BCCD-4A26-A764-CD987738D85B}"/>
    <cellStyle name="Total 4" xfId="20905" xr:uid="{00000000-0005-0000-0000-0000B0510000}"/>
    <cellStyle name="Total 4 2" xfId="20906" xr:uid="{00000000-0005-0000-0000-0000B1510000}"/>
    <cellStyle name="Total 4 2 2" xfId="21406" xr:uid="{A66133C4-2049-422C-8051-396A5294BEC3}"/>
    <cellStyle name="Total 4 3" xfId="20907" xr:uid="{00000000-0005-0000-0000-0000B2510000}"/>
    <cellStyle name="Total 4 3 2" xfId="21407" xr:uid="{D2659778-A2AC-4EC3-9B11-563DF32BA43B}"/>
    <cellStyle name="Total 4 4" xfId="21405" xr:uid="{C9268E25-9930-4E30-A4AE-C134BE16D51B}"/>
    <cellStyle name="Total 5" xfId="20908" xr:uid="{00000000-0005-0000-0000-0000B3510000}"/>
    <cellStyle name="Total 5 2" xfId="20909" xr:uid="{00000000-0005-0000-0000-0000B4510000}"/>
    <cellStyle name="Total 5 2 2" xfId="21409" xr:uid="{D2719CB8-06A0-4C11-B662-58436535EA33}"/>
    <cellStyle name="Total 5 3" xfId="20910" xr:uid="{00000000-0005-0000-0000-0000B5510000}"/>
    <cellStyle name="Total 5 3 2" xfId="21410" xr:uid="{41BFEC54-4599-4C82-8DB3-F2993B78DB95}"/>
    <cellStyle name="Total 5 4" xfId="21408" xr:uid="{FDA69882-6FBE-43CB-B5F5-5F4DD5CFB94D}"/>
    <cellStyle name="Total 6" xfId="20911" xr:uid="{00000000-0005-0000-0000-0000B6510000}"/>
    <cellStyle name="Total 6 2" xfId="20912" xr:uid="{00000000-0005-0000-0000-0000B7510000}"/>
    <cellStyle name="Total 6 2 2" xfId="21412" xr:uid="{4BE62858-61D9-474E-8443-BE45B69A910D}"/>
    <cellStyle name="Total 6 3" xfId="20913" xr:uid="{00000000-0005-0000-0000-0000B8510000}"/>
    <cellStyle name="Total 6 3 2" xfId="21413" xr:uid="{360EC9C2-05A3-4776-B3F5-7E810C2128DE}"/>
    <cellStyle name="Total 6 4" xfId="21411" xr:uid="{F0AAA638-CC51-4ECF-8A0A-18C7B091A5C8}"/>
    <cellStyle name="Total 7" xfId="20914" xr:uid="{00000000-0005-0000-0000-0000B9510000}"/>
    <cellStyle name="Total 7 2" xfId="21414" xr:uid="{11691C9E-4D55-4A9F-839D-BC34B4912D13}"/>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95"/>
      <c r="B1" s="131" t="s">
        <v>222</v>
      </c>
      <c r="C1" s="95"/>
    </row>
    <row r="2" spans="1:3">
      <c r="A2" s="132">
        <v>1</v>
      </c>
      <c r="B2" s="234" t="s">
        <v>223</v>
      </c>
      <c r="C2" s="46" t="s">
        <v>713</v>
      </c>
    </row>
    <row r="3" spans="1:3">
      <c r="A3" s="132">
        <v>2</v>
      </c>
      <c r="B3" s="235" t="s">
        <v>219</v>
      </c>
      <c r="C3" s="46" t="s">
        <v>714</v>
      </c>
    </row>
    <row r="4" spans="1:3">
      <c r="A4" s="132">
        <v>3</v>
      </c>
      <c r="B4" s="236" t="s">
        <v>224</v>
      </c>
      <c r="C4" s="46" t="s">
        <v>715</v>
      </c>
    </row>
    <row r="5" spans="1:3">
      <c r="A5" s="133">
        <v>4</v>
      </c>
      <c r="B5" s="237" t="s">
        <v>220</v>
      </c>
      <c r="C5" s="603" t="s">
        <v>716</v>
      </c>
    </row>
    <row r="6" spans="1:3" s="134" customFormat="1" ht="45.75" customHeight="1">
      <c r="A6" s="680" t="s">
        <v>296</v>
      </c>
      <c r="B6" s="681"/>
      <c r="C6" s="681"/>
    </row>
    <row r="7" spans="1:3" ht="15">
      <c r="A7" s="135" t="s">
        <v>29</v>
      </c>
      <c r="B7" s="131" t="s">
        <v>221</v>
      </c>
    </row>
    <row r="8" spans="1:3">
      <c r="A8" s="95">
        <v>1</v>
      </c>
      <c r="B8" s="161" t="s">
        <v>20</v>
      </c>
    </row>
    <row r="9" spans="1:3">
      <c r="A9" s="95">
        <v>2</v>
      </c>
      <c r="B9" s="162" t="s">
        <v>21</v>
      </c>
    </row>
    <row r="10" spans="1:3">
      <c r="A10" s="95">
        <v>3</v>
      </c>
      <c r="B10" s="162" t="s">
        <v>22</v>
      </c>
    </row>
    <row r="11" spans="1:3">
      <c r="A11" s="95">
        <v>4</v>
      </c>
      <c r="B11" s="162" t="s">
        <v>23</v>
      </c>
    </row>
    <row r="12" spans="1:3">
      <c r="A12" s="95">
        <v>5</v>
      </c>
      <c r="B12" s="162" t="s">
        <v>24</v>
      </c>
    </row>
    <row r="13" spans="1:3">
      <c r="A13" s="95">
        <v>6</v>
      </c>
      <c r="B13" s="163" t="s">
        <v>231</v>
      </c>
    </row>
    <row r="14" spans="1:3">
      <c r="A14" s="95">
        <v>7</v>
      </c>
      <c r="B14" s="162" t="s">
        <v>225</v>
      </c>
    </row>
    <row r="15" spans="1:3">
      <c r="A15" s="95">
        <v>8</v>
      </c>
      <c r="B15" s="162" t="s">
        <v>226</v>
      </c>
    </row>
    <row r="16" spans="1:3">
      <c r="A16" s="95">
        <v>9</v>
      </c>
      <c r="B16" s="162" t="s">
        <v>25</v>
      </c>
    </row>
    <row r="17" spans="1:2">
      <c r="A17" s="233" t="s">
        <v>295</v>
      </c>
      <c r="B17" s="232" t="s">
        <v>282</v>
      </c>
    </row>
    <row r="18" spans="1:2">
      <c r="A18" s="95">
        <v>10</v>
      </c>
      <c r="B18" s="162" t="s">
        <v>26</v>
      </c>
    </row>
    <row r="19" spans="1:2">
      <c r="A19" s="95">
        <v>11</v>
      </c>
      <c r="B19" s="163" t="s">
        <v>227</v>
      </c>
    </row>
    <row r="20" spans="1:2">
      <c r="A20" s="95">
        <v>12</v>
      </c>
      <c r="B20" s="163" t="s">
        <v>27</v>
      </c>
    </row>
    <row r="21" spans="1:2">
      <c r="A21" s="284">
        <v>13</v>
      </c>
      <c r="B21" s="285" t="s">
        <v>228</v>
      </c>
    </row>
    <row r="22" spans="1:2">
      <c r="A22" s="284">
        <v>14</v>
      </c>
      <c r="B22" s="286" t="s">
        <v>253</v>
      </c>
    </row>
    <row r="23" spans="1:2">
      <c r="A23" s="284">
        <v>15</v>
      </c>
      <c r="B23" s="287" t="s">
        <v>28</v>
      </c>
    </row>
    <row r="24" spans="1:2">
      <c r="A24" s="284">
        <v>15.1</v>
      </c>
      <c r="B24" s="288" t="s">
        <v>309</v>
      </c>
    </row>
    <row r="25" spans="1:2">
      <c r="A25" s="284">
        <v>16</v>
      </c>
      <c r="B25" s="288" t="s">
        <v>373</v>
      </c>
    </row>
    <row r="26" spans="1:2">
      <c r="A26" s="284">
        <v>17</v>
      </c>
      <c r="B26" s="288" t="s">
        <v>414</v>
      </c>
    </row>
    <row r="27" spans="1:2">
      <c r="A27" s="284">
        <v>18</v>
      </c>
      <c r="B27" s="288" t="s">
        <v>703</v>
      </c>
    </row>
    <row r="28" spans="1:2">
      <c r="A28" s="284">
        <v>19</v>
      </c>
      <c r="B28" s="288" t="s">
        <v>704</v>
      </c>
    </row>
    <row r="29" spans="1:2">
      <c r="A29" s="284">
        <v>20</v>
      </c>
      <c r="B29" s="334" t="s">
        <v>705</v>
      </c>
    </row>
    <row r="30" spans="1:2">
      <c r="A30" s="284">
        <v>21</v>
      </c>
      <c r="B30" s="288" t="s">
        <v>530</v>
      </c>
    </row>
    <row r="31" spans="1:2">
      <c r="A31" s="284">
        <v>22</v>
      </c>
      <c r="B31" s="288" t="s">
        <v>706</v>
      </c>
    </row>
    <row r="32" spans="1:2">
      <c r="A32" s="284">
        <v>23</v>
      </c>
      <c r="B32" s="288" t="s">
        <v>707</v>
      </c>
    </row>
    <row r="33" spans="1:2">
      <c r="A33" s="284">
        <v>24</v>
      </c>
      <c r="B33" s="288" t="s">
        <v>708</v>
      </c>
    </row>
    <row r="34" spans="1:2">
      <c r="A34" s="284">
        <v>25</v>
      </c>
      <c r="B34" s="288" t="s">
        <v>415</v>
      </c>
    </row>
    <row r="35" spans="1:2">
      <c r="A35" s="284">
        <v>26</v>
      </c>
      <c r="B35" s="288"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8F00D87-BEB1-46C2-9733-10BFBEC5FCB3}"/>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5">
      <c r="A1" s="2" t="s">
        <v>30</v>
      </c>
      <c r="B1" s="3" t="str">
        <f>'Info '!C2</f>
        <v>JSC Cartu Bank</v>
      </c>
    </row>
    <row r="2" spans="1:5" s="2" customFormat="1" ht="15.75" customHeight="1">
      <c r="A2" s="2" t="s">
        <v>31</v>
      </c>
      <c r="B2" s="663">
        <f>'1. key ratios '!B2</f>
        <v>45107</v>
      </c>
    </row>
    <row r="3" spans="1:5" s="2" customFormat="1" ht="15.75" customHeight="1"/>
    <row r="4" spans="1:5" ht="13.5" thickBot="1">
      <c r="A4" s="4" t="s">
        <v>143</v>
      </c>
      <c r="B4" s="83" t="s">
        <v>142</v>
      </c>
    </row>
    <row r="5" spans="1:5">
      <c r="A5" s="51" t="s">
        <v>6</v>
      </c>
      <c r="B5" s="52"/>
      <c r="C5" s="53" t="s">
        <v>35</v>
      </c>
    </row>
    <row r="6" spans="1:5">
      <c r="A6" s="54">
        <v>1</v>
      </c>
      <c r="B6" s="55" t="s">
        <v>141</v>
      </c>
      <c r="C6" s="557">
        <f>SUM(C7:C11)</f>
        <v>368828949.31040263</v>
      </c>
      <c r="E6" s="671"/>
    </row>
    <row r="7" spans="1:5">
      <c r="A7" s="54">
        <v>2</v>
      </c>
      <c r="B7" s="56" t="s">
        <v>140</v>
      </c>
      <c r="C7" s="556">
        <v>114430000</v>
      </c>
      <c r="E7" s="671"/>
    </row>
    <row r="8" spans="1:5">
      <c r="A8" s="54">
        <v>3</v>
      </c>
      <c r="B8" s="57" t="s">
        <v>139</v>
      </c>
      <c r="C8" s="556">
        <v>0</v>
      </c>
      <c r="E8" s="671"/>
    </row>
    <row r="9" spans="1:5">
      <c r="A9" s="54">
        <v>4</v>
      </c>
      <c r="B9" s="57" t="s">
        <v>138</v>
      </c>
      <c r="C9" s="556">
        <v>0</v>
      </c>
      <c r="E9" s="671"/>
    </row>
    <row r="10" spans="1:5">
      <c r="A10" s="54">
        <v>5</v>
      </c>
      <c r="B10" s="57" t="s">
        <v>137</v>
      </c>
      <c r="C10" s="556">
        <v>7438034.3799999999</v>
      </c>
      <c r="E10" s="671"/>
    </row>
    <row r="11" spans="1:5">
      <c r="A11" s="54">
        <v>6</v>
      </c>
      <c r="B11" s="58" t="s">
        <v>136</v>
      </c>
      <c r="C11" s="556">
        <v>246960914.93040267</v>
      </c>
      <c r="E11" s="671"/>
    </row>
    <row r="12" spans="1:5" s="28" customFormat="1">
      <c r="A12" s="54">
        <v>7</v>
      </c>
      <c r="B12" s="55" t="s">
        <v>135</v>
      </c>
      <c r="C12" s="555">
        <f>SUM(C13:C28)</f>
        <v>5486734.5799999991</v>
      </c>
      <c r="E12" s="671"/>
    </row>
    <row r="13" spans="1:5" s="28" customFormat="1">
      <c r="A13" s="54">
        <v>8</v>
      </c>
      <c r="B13" s="59" t="s">
        <v>134</v>
      </c>
      <c r="C13" s="554">
        <v>-12880</v>
      </c>
      <c r="E13" s="671"/>
    </row>
    <row r="14" spans="1:5" s="28" customFormat="1" ht="25.5">
      <c r="A14" s="54">
        <v>9</v>
      </c>
      <c r="B14" s="60" t="s">
        <v>133</v>
      </c>
      <c r="C14" s="554">
        <v>0</v>
      </c>
      <c r="E14" s="671"/>
    </row>
    <row r="15" spans="1:5" s="28" customFormat="1">
      <c r="A15" s="54">
        <v>10</v>
      </c>
      <c r="B15" s="61" t="s">
        <v>132</v>
      </c>
      <c r="C15" s="554">
        <v>5499614.5799999991</v>
      </c>
      <c r="E15" s="671"/>
    </row>
    <row r="16" spans="1:5" s="28" customFormat="1">
      <c r="A16" s="54">
        <v>11</v>
      </c>
      <c r="B16" s="62" t="s">
        <v>131</v>
      </c>
      <c r="C16" s="554">
        <v>0</v>
      </c>
      <c r="E16" s="671"/>
    </row>
    <row r="17" spans="1:5" s="28" customFormat="1">
      <c r="A17" s="54">
        <v>12</v>
      </c>
      <c r="B17" s="61" t="s">
        <v>130</v>
      </c>
      <c r="C17" s="554">
        <v>0</v>
      </c>
      <c r="E17" s="671"/>
    </row>
    <row r="18" spans="1:5" s="28" customFormat="1">
      <c r="A18" s="54">
        <v>13</v>
      </c>
      <c r="B18" s="61" t="s">
        <v>129</v>
      </c>
      <c r="C18" s="554">
        <v>0</v>
      </c>
      <c r="E18" s="671"/>
    </row>
    <row r="19" spans="1:5" s="28" customFormat="1">
      <c r="A19" s="54">
        <v>14</v>
      </c>
      <c r="B19" s="61" t="s">
        <v>128</v>
      </c>
      <c r="C19" s="554">
        <v>0</v>
      </c>
      <c r="E19" s="671"/>
    </row>
    <row r="20" spans="1:5" s="28" customFormat="1">
      <c r="A20" s="54">
        <v>15</v>
      </c>
      <c r="B20" s="61" t="s">
        <v>127</v>
      </c>
      <c r="C20" s="554">
        <v>0</v>
      </c>
      <c r="E20" s="671"/>
    </row>
    <row r="21" spans="1:5" s="28" customFormat="1" ht="25.5">
      <c r="A21" s="54">
        <v>16</v>
      </c>
      <c r="B21" s="60" t="s">
        <v>126</v>
      </c>
      <c r="C21" s="554">
        <v>0</v>
      </c>
      <c r="E21" s="671"/>
    </row>
    <row r="22" spans="1:5" s="28" customFormat="1">
      <c r="A22" s="54">
        <v>17</v>
      </c>
      <c r="B22" s="63" t="s">
        <v>125</v>
      </c>
      <c r="C22" s="554">
        <v>0</v>
      </c>
      <c r="E22" s="671"/>
    </row>
    <row r="23" spans="1:5" s="28" customFormat="1">
      <c r="A23" s="54">
        <v>18</v>
      </c>
      <c r="B23" s="490" t="s">
        <v>553</v>
      </c>
      <c r="C23" s="622">
        <v>0</v>
      </c>
      <c r="E23" s="671"/>
    </row>
    <row r="24" spans="1:5" s="28" customFormat="1">
      <c r="A24" s="54">
        <v>19</v>
      </c>
      <c r="B24" s="60" t="s">
        <v>124</v>
      </c>
      <c r="C24" s="554">
        <v>0</v>
      </c>
      <c r="E24" s="671"/>
    </row>
    <row r="25" spans="1:5" s="28" customFormat="1" ht="25.5">
      <c r="A25" s="54">
        <v>20</v>
      </c>
      <c r="B25" s="60" t="s">
        <v>101</v>
      </c>
      <c r="C25" s="554">
        <v>0</v>
      </c>
      <c r="E25" s="671"/>
    </row>
    <row r="26" spans="1:5" s="28" customFormat="1">
      <c r="A26" s="54">
        <v>21</v>
      </c>
      <c r="B26" s="62" t="s">
        <v>123</v>
      </c>
      <c r="C26" s="554">
        <v>0</v>
      </c>
      <c r="E26" s="671"/>
    </row>
    <row r="27" spans="1:5" s="28" customFormat="1">
      <c r="A27" s="54">
        <v>22</v>
      </c>
      <c r="B27" s="62" t="s">
        <v>122</v>
      </c>
      <c r="C27" s="554">
        <v>0</v>
      </c>
      <c r="E27" s="671"/>
    </row>
    <row r="28" spans="1:5" s="28" customFormat="1">
      <c r="A28" s="54">
        <v>23</v>
      </c>
      <c r="B28" s="62" t="s">
        <v>121</v>
      </c>
      <c r="C28" s="554">
        <v>0</v>
      </c>
      <c r="E28" s="671"/>
    </row>
    <row r="29" spans="1:5" s="28" customFormat="1">
      <c r="A29" s="54">
        <v>24</v>
      </c>
      <c r="B29" s="64" t="s">
        <v>120</v>
      </c>
      <c r="C29" s="555">
        <f>C6-C12</f>
        <v>363342214.73040265</v>
      </c>
      <c r="E29" s="671"/>
    </row>
    <row r="30" spans="1:5" s="28" customFormat="1">
      <c r="A30" s="65"/>
      <c r="B30" s="66"/>
      <c r="C30" s="554"/>
      <c r="E30" s="671"/>
    </row>
    <row r="31" spans="1:5" s="28" customFormat="1">
      <c r="A31" s="65">
        <v>25</v>
      </c>
      <c r="B31" s="64" t="s">
        <v>119</v>
      </c>
      <c r="C31" s="555">
        <f>C32+C35</f>
        <v>72596163.527281225</v>
      </c>
      <c r="E31" s="671"/>
    </row>
    <row r="32" spans="1:5" s="28" customFormat="1">
      <c r="A32" s="65">
        <v>26</v>
      </c>
      <c r="B32" s="57" t="s">
        <v>118</v>
      </c>
      <c r="C32" s="553">
        <f>C33+C34</f>
        <v>72596163.527281225</v>
      </c>
      <c r="E32" s="671"/>
    </row>
    <row r="33" spans="1:5" s="28" customFormat="1">
      <c r="A33" s="65">
        <v>27</v>
      </c>
      <c r="B33" s="67" t="s">
        <v>192</v>
      </c>
      <c r="C33" s="554">
        <v>25763611.367281228</v>
      </c>
      <c r="E33" s="671"/>
    </row>
    <row r="34" spans="1:5" s="28" customFormat="1">
      <c r="A34" s="65">
        <v>28</v>
      </c>
      <c r="B34" s="67" t="s">
        <v>117</v>
      </c>
      <c r="C34" s="554">
        <v>46832552.159999996</v>
      </c>
      <c r="E34" s="671"/>
    </row>
    <row r="35" spans="1:5" s="28" customFormat="1">
      <c r="A35" s="65">
        <v>29</v>
      </c>
      <c r="B35" s="57" t="s">
        <v>116</v>
      </c>
      <c r="C35" s="554">
        <v>0</v>
      </c>
      <c r="E35" s="671"/>
    </row>
    <row r="36" spans="1:5" s="28" customFormat="1">
      <c r="A36" s="65">
        <v>30</v>
      </c>
      <c r="B36" s="64" t="s">
        <v>115</v>
      </c>
      <c r="C36" s="555">
        <f>SUM(C37:C41)</f>
        <v>0</v>
      </c>
      <c r="E36" s="671"/>
    </row>
    <row r="37" spans="1:5" s="28" customFormat="1">
      <c r="A37" s="65">
        <v>31</v>
      </c>
      <c r="B37" s="60" t="s">
        <v>114</v>
      </c>
      <c r="C37" s="554"/>
      <c r="E37" s="671"/>
    </row>
    <row r="38" spans="1:5" s="28" customFormat="1">
      <c r="A38" s="65">
        <v>32</v>
      </c>
      <c r="B38" s="61" t="s">
        <v>113</v>
      </c>
      <c r="C38" s="554"/>
      <c r="E38" s="671"/>
    </row>
    <row r="39" spans="1:5" s="28" customFormat="1" ht="25.5">
      <c r="A39" s="65">
        <v>33</v>
      </c>
      <c r="B39" s="60" t="s">
        <v>112</v>
      </c>
      <c r="C39" s="554"/>
      <c r="E39" s="671"/>
    </row>
    <row r="40" spans="1:5" s="28" customFormat="1" ht="25.5">
      <c r="A40" s="65">
        <v>34</v>
      </c>
      <c r="B40" s="60" t="s">
        <v>101</v>
      </c>
      <c r="C40" s="554"/>
      <c r="E40" s="671"/>
    </row>
    <row r="41" spans="1:5" s="28" customFormat="1">
      <c r="A41" s="65">
        <v>35</v>
      </c>
      <c r="B41" s="62" t="s">
        <v>111</v>
      </c>
      <c r="C41" s="554"/>
      <c r="E41" s="671"/>
    </row>
    <row r="42" spans="1:5" s="28" customFormat="1">
      <c r="A42" s="65">
        <v>36</v>
      </c>
      <c r="B42" s="64" t="s">
        <v>110</v>
      </c>
      <c r="C42" s="555">
        <f>C31-C36</f>
        <v>72596163.527281225</v>
      </c>
      <c r="E42" s="671"/>
    </row>
    <row r="43" spans="1:5" s="28" customFormat="1">
      <c r="A43" s="65"/>
      <c r="B43" s="66"/>
      <c r="C43" s="554"/>
      <c r="E43" s="671"/>
    </row>
    <row r="44" spans="1:5" s="28" customFormat="1">
      <c r="A44" s="65">
        <v>37</v>
      </c>
      <c r="B44" s="68" t="s">
        <v>109</v>
      </c>
      <c r="C44" s="555">
        <f>SUM(C45:C47)</f>
        <v>25129920</v>
      </c>
      <c r="E44" s="671"/>
    </row>
    <row r="45" spans="1:5" s="28" customFormat="1">
      <c r="A45" s="65">
        <v>38</v>
      </c>
      <c r="B45" s="57" t="s">
        <v>108</v>
      </c>
      <c r="C45" s="554">
        <v>25129920</v>
      </c>
      <c r="E45" s="671"/>
    </row>
    <row r="46" spans="1:5" s="28" customFormat="1">
      <c r="A46" s="65">
        <v>39</v>
      </c>
      <c r="B46" s="57" t="s">
        <v>107</v>
      </c>
      <c r="C46" s="554"/>
      <c r="E46" s="671"/>
    </row>
    <row r="47" spans="1:5" s="28" customFormat="1">
      <c r="A47" s="65">
        <v>40</v>
      </c>
      <c r="B47" s="57" t="s">
        <v>106</v>
      </c>
      <c r="C47" s="554"/>
      <c r="E47" s="671"/>
    </row>
    <row r="48" spans="1:5" s="28" customFormat="1">
      <c r="A48" s="65">
        <v>41</v>
      </c>
      <c r="B48" s="68" t="s">
        <v>105</v>
      </c>
      <c r="C48" s="555">
        <f>SUM(C49:C52)</f>
        <v>0</v>
      </c>
      <c r="E48" s="671"/>
    </row>
    <row r="49" spans="1:5" s="28" customFormat="1">
      <c r="A49" s="65">
        <v>42</v>
      </c>
      <c r="B49" s="60" t="s">
        <v>104</v>
      </c>
      <c r="C49" s="554"/>
      <c r="E49" s="671"/>
    </row>
    <row r="50" spans="1:5" s="28" customFormat="1">
      <c r="A50" s="65">
        <v>43</v>
      </c>
      <c r="B50" s="61" t="s">
        <v>103</v>
      </c>
      <c r="C50" s="554"/>
      <c r="E50" s="671"/>
    </row>
    <row r="51" spans="1:5" s="28" customFormat="1">
      <c r="A51" s="65">
        <v>44</v>
      </c>
      <c r="B51" s="60" t="s">
        <v>102</v>
      </c>
      <c r="C51" s="554"/>
      <c r="E51" s="671"/>
    </row>
    <row r="52" spans="1:5" s="28" customFormat="1" ht="25.5">
      <c r="A52" s="65">
        <v>45</v>
      </c>
      <c r="B52" s="60" t="s">
        <v>101</v>
      </c>
      <c r="C52" s="554"/>
      <c r="E52" s="671"/>
    </row>
    <row r="53" spans="1:5" s="28" customFormat="1" ht="13.5" thickBot="1">
      <c r="A53" s="65">
        <v>46</v>
      </c>
      <c r="B53" s="69" t="s">
        <v>100</v>
      </c>
      <c r="C53" s="623">
        <f>C44-C48</f>
        <v>25129920</v>
      </c>
      <c r="E53" s="671"/>
    </row>
    <row r="56" spans="1:5">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workbookViewId="0"/>
  </sheetViews>
  <sheetFormatPr defaultColWidth="9.140625" defaultRowHeight="12.75"/>
  <cols>
    <col min="1" max="1" width="9.42578125" style="153" bestFit="1" customWidth="1"/>
    <col min="2" max="2" width="59" style="153" customWidth="1"/>
    <col min="3" max="3" width="16.7109375" style="153" bestFit="1" customWidth="1"/>
    <col min="4" max="4" width="14.28515625" style="153" bestFit="1" customWidth="1"/>
    <col min="5" max="16384" width="9.140625" style="153"/>
  </cols>
  <sheetData>
    <row r="1" spans="1:7" ht="15">
      <c r="A1" s="151" t="s">
        <v>30</v>
      </c>
      <c r="B1" s="3" t="str">
        <f>'Info '!C2</f>
        <v>JSC Cartu Bank</v>
      </c>
    </row>
    <row r="2" spans="1:7" s="151" customFormat="1" ht="15.75" customHeight="1">
      <c r="A2" s="151" t="s">
        <v>31</v>
      </c>
      <c r="B2" s="663">
        <f>'1. key ratios '!B2</f>
        <v>45107</v>
      </c>
    </row>
    <row r="3" spans="1:7" s="151" customFormat="1" ht="15.75" customHeight="1"/>
    <row r="4" spans="1:7" ht="13.5" thickBot="1">
      <c r="A4" s="153" t="s">
        <v>281</v>
      </c>
      <c r="B4" s="225" t="s">
        <v>282</v>
      </c>
    </row>
    <row r="5" spans="1:7" s="158" customFormat="1" ht="12.75" customHeight="1">
      <c r="A5" s="282"/>
      <c r="B5" s="283" t="s">
        <v>285</v>
      </c>
      <c r="C5" s="218" t="s">
        <v>283</v>
      </c>
      <c r="D5" s="219" t="s">
        <v>284</v>
      </c>
    </row>
    <row r="6" spans="1:7" s="226" customFormat="1">
      <c r="A6" s="220">
        <v>1</v>
      </c>
      <c r="B6" s="278" t="s">
        <v>286</v>
      </c>
      <c r="C6" s="278"/>
      <c r="D6" s="221"/>
    </row>
    <row r="7" spans="1:7" s="226" customFormat="1">
      <c r="A7" s="222" t="s">
        <v>272</v>
      </c>
      <c r="B7" s="279" t="s">
        <v>287</v>
      </c>
      <c r="C7" s="271">
        <v>4.4999999999999998E-2</v>
      </c>
      <c r="D7" s="552">
        <f>C7*'5. RWA '!$C$13</f>
        <v>65188953.808493555</v>
      </c>
      <c r="F7" s="624"/>
      <c r="G7" s="624"/>
    </row>
    <row r="8" spans="1:7" s="226" customFormat="1">
      <c r="A8" s="222" t="s">
        <v>273</v>
      </c>
      <c r="B8" s="279" t="s">
        <v>288</v>
      </c>
      <c r="C8" s="272">
        <v>0.06</v>
      </c>
      <c r="D8" s="552">
        <f>C8*'5. RWA '!$C$13</f>
        <v>86918605.077991396</v>
      </c>
      <c r="F8" s="624"/>
      <c r="G8" s="624"/>
    </row>
    <row r="9" spans="1:7" s="226" customFormat="1">
      <c r="A9" s="222" t="s">
        <v>274</v>
      </c>
      <c r="B9" s="279" t="s">
        <v>289</v>
      </c>
      <c r="C9" s="272">
        <v>0.08</v>
      </c>
      <c r="D9" s="552">
        <f>C9*'5. RWA '!$C$13</f>
        <v>115891473.43732187</v>
      </c>
      <c r="F9" s="624"/>
      <c r="G9" s="624"/>
    </row>
    <row r="10" spans="1:7" s="226" customFormat="1">
      <c r="A10" s="220" t="s">
        <v>275</v>
      </c>
      <c r="B10" s="278" t="s">
        <v>290</v>
      </c>
      <c r="C10" s="273"/>
      <c r="D10" s="551"/>
      <c r="F10" s="624"/>
      <c r="G10" s="624"/>
    </row>
    <row r="11" spans="1:7" s="227" customFormat="1">
      <c r="A11" s="223" t="s">
        <v>276</v>
      </c>
      <c r="B11" s="270" t="s">
        <v>356</v>
      </c>
      <c r="C11" s="274">
        <v>2.5000000000000001E-2</v>
      </c>
      <c r="D11" s="552">
        <f>C11*'5. RWA '!$C$13</f>
        <v>36216085.449163087</v>
      </c>
      <c r="F11" s="624"/>
      <c r="G11" s="624"/>
    </row>
    <row r="12" spans="1:7" s="227" customFormat="1">
      <c r="A12" s="223" t="s">
        <v>277</v>
      </c>
      <c r="B12" s="270" t="s">
        <v>291</v>
      </c>
      <c r="C12" s="274">
        <v>0</v>
      </c>
      <c r="D12" s="552">
        <f>C12*'5. RWA '!$C$13</f>
        <v>0</v>
      </c>
      <c r="F12" s="624"/>
      <c r="G12" s="624"/>
    </row>
    <row r="13" spans="1:7" s="227" customFormat="1">
      <c r="A13" s="223" t="s">
        <v>278</v>
      </c>
      <c r="B13" s="270" t="s">
        <v>292</v>
      </c>
      <c r="C13" s="274"/>
      <c r="D13" s="552">
        <f>C13*'5. RWA '!$C$13</f>
        <v>0</v>
      </c>
      <c r="F13" s="624"/>
      <c r="G13" s="624"/>
    </row>
    <row r="14" spans="1:7" s="227" customFormat="1">
      <c r="A14" s="220" t="s">
        <v>279</v>
      </c>
      <c r="B14" s="278" t="s">
        <v>353</v>
      </c>
      <c r="C14" s="275"/>
      <c r="D14" s="551"/>
      <c r="F14" s="624"/>
      <c r="G14" s="624"/>
    </row>
    <row r="15" spans="1:7" s="227" customFormat="1">
      <c r="A15" s="223">
        <v>3.1</v>
      </c>
      <c r="B15" s="270" t="s">
        <v>297</v>
      </c>
      <c r="C15" s="274">
        <v>0.12199984233244501</v>
      </c>
      <c r="D15" s="552">
        <f>C15*'5. RWA '!$C$13</f>
        <v>176734268.58785009</v>
      </c>
      <c r="F15" s="624"/>
      <c r="G15" s="624"/>
    </row>
    <row r="16" spans="1:7" s="227" customFormat="1">
      <c r="A16" s="223">
        <v>3.2</v>
      </c>
      <c r="B16" s="270" t="s">
        <v>298</v>
      </c>
      <c r="C16" s="274">
        <v>0.14098200097528829</v>
      </c>
      <c r="D16" s="552">
        <f>C16*'5. RWA '!$C$13</f>
        <v>204232647.76460138</v>
      </c>
      <c r="F16" s="624"/>
      <c r="G16" s="624"/>
    </row>
    <row r="17" spans="1:7" s="226" customFormat="1">
      <c r="A17" s="223">
        <v>3.3</v>
      </c>
      <c r="B17" s="270" t="s">
        <v>299</v>
      </c>
      <c r="C17" s="274">
        <v>0.16595852550534523</v>
      </c>
      <c r="D17" s="552">
        <f>C17*'5. RWA '!$C$13</f>
        <v>240414725.62874776</v>
      </c>
      <c r="F17" s="624"/>
      <c r="G17" s="624"/>
    </row>
    <row r="18" spans="1:7" s="158" customFormat="1" ht="12.75" customHeight="1">
      <c r="A18" s="280"/>
      <c r="B18" s="281" t="s">
        <v>352</v>
      </c>
      <c r="C18" s="276" t="s">
        <v>283</v>
      </c>
      <c r="D18" s="491" t="s">
        <v>284</v>
      </c>
      <c r="F18" s="624"/>
      <c r="G18" s="624"/>
    </row>
    <row r="19" spans="1:7" s="226" customFormat="1">
      <c r="A19" s="224">
        <v>4</v>
      </c>
      <c r="B19" s="270" t="s">
        <v>293</v>
      </c>
      <c r="C19" s="274">
        <f>C7+C11+C12+C13+C15</f>
        <v>0.19199984233244502</v>
      </c>
      <c r="D19" s="552">
        <f>C19*'5. RWA '!$C$13</f>
        <v>278139307.84550673</v>
      </c>
      <c r="F19" s="624"/>
      <c r="G19" s="624"/>
    </row>
    <row r="20" spans="1:7" s="226" customFormat="1">
      <c r="A20" s="224">
        <v>5</v>
      </c>
      <c r="B20" s="270" t="s">
        <v>90</v>
      </c>
      <c r="C20" s="274">
        <f>C8+C11+C12+C13+C16</f>
        <v>0.22598200097528828</v>
      </c>
      <c r="D20" s="552">
        <f>C20*'5. RWA '!$C$13</f>
        <v>327367338.29175586</v>
      </c>
      <c r="F20" s="624"/>
      <c r="G20" s="624"/>
    </row>
    <row r="21" spans="1:7" s="226" customFormat="1" ht="13.5" thickBot="1">
      <c r="A21" s="228" t="s">
        <v>280</v>
      </c>
      <c r="B21" s="229" t="s">
        <v>294</v>
      </c>
      <c r="C21" s="277">
        <f>C9+C11+C12+C13+C17</f>
        <v>0.27095852550534527</v>
      </c>
      <c r="D21" s="625">
        <f>C21*'5. RWA '!$C$13</f>
        <v>392522284.5152328</v>
      </c>
      <c r="F21" s="624"/>
      <c r="G21" s="624"/>
    </row>
    <row r="23" spans="1:7" ht="63.75">
      <c r="B23" s="188"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Normal="100" workbookViewId="0">
      <pane xSplit="1" ySplit="5" topLeftCell="B6" activePane="bottomRight" state="frozen"/>
      <selection activeCell="B47" sqref="B47"/>
      <selection pane="topRight" activeCell="B47" sqref="B47"/>
      <selection pane="bottomLeft" activeCell="B47" sqref="B47"/>
      <selection pane="bottomRight"/>
    </sheetView>
  </sheetViews>
  <sheetFormatPr defaultColWidth="9.140625" defaultRowHeight="14.25"/>
  <cols>
    <col min="1" max="1" width="10.7109375" style="4" customWidth="1"/>
    <col min="2" max="2" width="91.85546875" style="4" customWidth="1"/>
    <col min="3" max="3" width="53.140625" style="614" customWidth="1"/>
    <col min="4" max="4" width="32.28515625" style="4" customWidth="1"/>
    <col min="5" max="5" width="9.42578125" style="5" customWidth="1"/>
    <col min="6" max="16384" width="9.140625" style="5"/>
  </cols>
  <sheetData>
    <row r="1" spans="1:6">
      <c r="A1" s="2" t="s">
        <v>30</v>
      </c>
      <c r="B1" s="3" t="str">
        <f>'Info '!C2</f>
        <v>JSC Cartu Bank</v>
      </c>
      <c r="E1" s="4"/>
      <c r="F1" s="4"/>
    </row>
    <row r="2" spans="1:6" s="2" customFormat="1" ht="15.75" customHeight="1">
      <c r="A2" s="2" t="s">
        <v>31</v>
      </c>
      <c r="B2" s="663">
        <f>'1. key ratios '!B2</f>
        <v>45107</v>
      </c>
      <c r="C2" s="613"/>
    </row>
    <row r="3" spans="1:6" s="2" customFormat="1" ht="15.75" customHeight="1">
      <c r="A3" s="70"/>
      <c r="C3" s="613"/>
    </row>
    <row r="4" spans="1:6" s="2" customFormat="1" ht="15.75" customHeight="1" thickBot="1">
      <c r="A4" s="2" t="s">
        <v>47</v>
      </c>
      <c r="B4" s="145" t="s">
        <v>178</v>
      </c>
      <c r="C4" s="613"/>
      <c r="D4" s="20" t="s">
        <v>35</v>
      </c>
    </row>
    <row r="5" spans="1:6" ht="25.5">
      <c r="A5" s="71" t="s">
        <v>6</v>
      </c>
      <c r="B5" s="165" t="s">
        <v>218</v>
      </c>
      <c r="C5" s="626" t="s">
        <v>660</v>
      </c>
      <c r="D5" s="72" t="s">
        <v>49</v>
      </c>
    </row>
    <row r="6" spans="1:6" ht="15">
      <c r="A6" s="337">
        <v>1</v>
      </c>
      <c r="B6" s="338" t="s">
        <v>561</v>
      </c>
      <c r="C6" s="627">
        <f>SUM(C7:C9)</f>
        <v>660779736.64304566</v>
      </c>
      <c r="D6" s="73"/>
      <c r="E6" s="74"/>
      <c r="F6" s="619"/>
    </row>
    <row r="7" spans="1:6" ht="15">
      <c r="A7" s="337">
        <v>1.1000000000000001</v>
      </c>
      <c r="B7" s="339" t="s">
        <v>562</v>
      </c>
      <c r="C7" s="628">
        <v>31787406.777100004</v>
      </c>
      <c r="D7" s="75"/>
      <c r="E7" s="74"/>
      <c r="F7" s="619"/>
    </row>
    <row r="8" spans="1:6" ht="15">
      <c r="A8" s="337">
        <v>1.2</v>
      </c>
      <c r="B8" s="339" t="s">
        <v>563</v>
      </c>
      <c r="C8" s="628">
        <v>245964649.28573731</v>
      </c>
      <c r="D8" s="75"/>
      <c r="E8" s="74"/>
      <c r="F8" s="619"/>
    </row>
    <row r="9" spans="1:6" ht="15">
      <c r="A9" s="337">
        <v>1.3</v>
      </c>
      <c r="B9" s="339" t="s">
        <v>564</v>
      </c>
      <c r="C9" s="628">
        <v>383027680.58020836</v>
      </c>
      <c r="D9" s="75"/>
      <c r="E9" s="74"/>
      <c r="F9" s="619"/>
    </row>
    <row r="10" spans="1:6" ht="15">
      <c r="A10" s="337">
        <v>2</v>
      </c>
      <c r="B10" s="340" t="s">
        <v>565</v>
      </c>
      <c r="C10" s="628">
        <v>0</v>
      </c>
      <c r="D10" s="75"/>
      <c r="E10" s="74"/>
      <c r="F10" s="619"/>
    </row>
    <row r="11" spans="1:6" ht="15">
      <c r="A11" s="337">
        <v>2.1</v>
      </c>
      <c r="B11" s="341" t="s">
        <v>566</v>
      </c>
      <c r="C11" s="629">
        <v>0</v>
      </c>
      <c r="D11" s="395"/>
      <c r="E11" s="76"/>
      <c r="F11" s="619"/>
    </row>
    <row r="12" spans="1:6" ht="15">
      <c r="A12" s="337">
        <v>3</v>
      </c>
      <c r="B12" s="342" t="s">
        <v>567</v>
      </c>
      <c r="C12" s="629">
        <v>0</v>
      </c>
      <c r="D12" s="395"/>
      <c r="E12" s="76"/>
      <c r="F12" s="619"/>
    </row>
    <row r="13" spans="1:6" ht="15">
      <c r="A13" s="337">
        <v>4</v>
      </c>
      <c r="B13" s="343" t="s">
        <v>568</v>
      </c>
      <c r="C13" s="629">
        <v>0</v>
      </c>
      <c r="D13" s="395"/>
      <c r="E13" s="76"/>
      <c r="F13" s="619"/>
    </row>
    <row r="14" spans="1:6" ht="15">
      <c r="A14" s="337">
        <v>5</v>
      </c>
      <c r="B14" s="344" t="s">
        <v>569</v>
      </c>
      <c r="C14" s="629">
        <f>SUM(C15:C17)</f>
        <v>7234737.6699999999</v>
      </c>
      <c r="D14" s="395"/>
      <c r="E14" s="76"/>
      <c r="F14" s="619"/>
    </row>
    <row r="15" spans="1:6" ht="15">
      <c r="A15" s="337">
        <v>5.0999999999999996</v>
      </c>
      <c r="B15" s="345" t="s">
        <v>570</v>
      </c>
      <c r="C15" s="628">
        <v>168050</v>
      </c>
      <c r="D15" s="395"/>
      <c r="E15" s="74"/>
      <c r="F15" s="619"/>
    </row>
    <row r="16" spans="1:6" ht="15">
      <c r="A16" s="337">
        <v>5.2</v>
      </c>
      <c r="B16" s="345" t="s">
        <v>571</v>
      </c>
      <c r="C16" s="628">
        <v>7066687.6699999999</v>
      </c>
      <c r="D16" s="75"/>
      <c r="E16" s="74"/>
      <c r="F16" s="619"/>
    </row>
    <row r="17" spans="1:6" ht="15">
      <c r="A17" s="337">
        <v>5.3</v>
      </c>
      <c r="B17" s="346" t="s">
        <v>572</v>
      </c>
      <c r="C17" s="628">
        <v>0</v>
      </c>
      <c r="D17" s="75"/>
      <c r="E17" s="74"/>
      <c r="F17" s="619"/>
    </row>
    <row r="18" spans="1:6" ht="15">
      <c r="A18" s="337">
        <v>6</v>
      </c>
      <c r="B18" s="342" t="s">
        <v>573</v>
      </c>
      <c r="C18" s="628">
        <f>SUM(C19:C20)</f>
        <v>804604895.39199758</v>
      </c>
      <c r="D18" s="75"/>
      <c r="E18" s="74"/>
      <c r="F18" s="619"/>
    </row>
    <row r="19" spans="1:6" ht="15">
      <c r="A19" s="337">
        <v>6.1</v>
      </c>
      <c r="B19" s="345" t="s">
        <v>571</v>
      </c>
      <c r="C19" s="629">
        <v>50723652.916073769</v>
      </c>
      <c r="D19" s="75"/>
      <c r="E19" s="74"/>
      <c r="F19" s="619"/>
    </row>
    <row r="20" spans="1:6" ht="15">
      <c r="A20" s="337">
        <v>6.2</v>
      </c>
      <c r="B20" s="346" t="s">
        <v>572</v>
      </c>
      <c r="C20" s="629">
        <v>753881242.47592378</v>
      </c>
      <c r="D20" s="75"/>
      <c r="E20" s="74"/>
      <c r="F20" s="619"/>
    </row>
    <row r="21" spans="1:6" ht="15">
      <c r="A21" s="337">
        <v>7</v>
      </c>
      <c r="B21" s="340" t="s">
        <v>574</v>
      </c>
      <c r="C21" s="629">
        <v>9372300</v>
      </c>
      <c r="D21" s="75"/>
      <c r="E21" s="74"/>
      <c r="F21" s="619"/>
    </row>
    <row r="22" spans="1:6" ht="15">
      <c r="A22" s="337">
        <v>8</v>
      </c>
      <c r="B22" s="347" t="s">
        <v>575</v>
      </c>
      <c r="C22" s="628">
        <v>108050736.29584004</v>
      </c>
      <c r="D22" s="75"/>
      <c r="E22" s="74"/>
      <c r="F22" s="619"/>
    </row>
    <row r="23" spans="1:6" ht="15">
      <c r="A23" s="337">
        <v>9</v>
      </c>
      <c r="B23" s="343" t="s">
        <v>576</v>
      </c>
      <c r="C23" s="628">
        <f>SUM(C24:C25)</f>
        <v>14881728.141529512</v>
      </c>
      <c r="D23" s="396"/>
      <c r="E23" s="74"/>
      <c r="F23" s="619"/>
    </row>
    <row r="24" spans="1:6" ht="15">
      <c r="A24" s="337">
        <v>9.1</v>
      </c>
      <c r="B24" s="345" t="s">
        <v>577</v>
      </c>
      <c r="C24" s="630">
        <v>14881728.141529512</v>
      </c>
      <c r="D24" s="77"/>
      <c r="E24" s="74"/>
      <c r="F24" s="619"/>
    </row>
    <row r="25" spans="1:6" ht="15">
      <c r="A25" s="337">
        <v>9.1999999999999993</v>
      </c>
      <c r="B25" s="345" t="s">
        <v>578</v>
      </c>
      <c r="C25" s="631">
        <v>0</v>
      </c>
      <c r="D25" s="394"/>
      <c r="E25" s="78"/>
      <c r="F25" s="619"/>
    </row>
    <row r="26" spans="1:6" ht="15.75">
      <c r="A26" s="337">
        <v>10</v>
      </c>
      <c r="B26" s="343" t="s">
        <v>579</v>
      </c>
      <c r="C26" s="632">
        <f>SUM(C27:C28)</f>
        <v>5499614.5799999991</v>
      </c>
      <c r="D26" s="489" t="s">
        <v>702</v>
      </c>
      <c r="E26" s="74"/>
      <c r="F26" s="619"/>
    </row>
    <row r="27" spans="1:6" ht="15">
      <c r="A27" s="337">
        <v>10.1</v>
      </c>
      <c r="B27" s="345" t="s">
        <v>580</v>
      </c>
      <c r="C27" s="628">
        <v>0</v>
      </c>
      <c r="D27" s="75"/>
      <c r="E27" s="74"/>
      <c r="F27" s="619"/>
    </row>
    <row r="28" spans="1:6" ht="15">
      <c r="A28" s="337">
        <v>10.199999999999999</v>
      </c>
      <c r="B28" s="345" t="s">
        <v>581</v>
      </c>
      <c r="C28" s="628">
        <v>5499614.5799999991</v>
      </c>
      <c r="D28" s="75"/>
      <c r="E28" s="74"/>
      <c r="F28" s="619"/>
    </row>
    <row r="29" spans="1:6" ht="15">
      <c r="A29" s="337">
        <v>11</v>
      </c>
      <c r="B29" s="343" t="s">
        <v>582</v>
      </c>
      <c r="C29" s="628">
        <f>SUM(C30:C31)</f>
        <v>0</v>
      </c>
      <c r="D29" s="75"/>
      <c r="E29" s="74"/>
      <c r="F29" s="619"/>
    </row>
    <row r="30" spans="1:6" ht="15">
      <c r="A30" s="337">
        <v>11.1</v>
      </c>
      <c r="B30" s="345" t="s">
        <v>583</v>
      </c>
      <c r="C30" s="628">
        <v>0</v>
      </c>
      <c r="D30" s="75"/>
      <c r="E30" s="74"/>
      <c r="F30" s="619"/>
    </row>
    <row r="31" spans="1:6" ht="15">
      <c r="A31" s="337">
        <v>11.2</v>
      </c>
      <c r="B31" s="345" t="s">
        <v>584</v>
      </c>
      <c r="C31" s="628">
        <v>0</v>
      </c>
      <c r="D31" s="75"/>
      <c r="E31" s="74"/>
      <c r="F31" s="619"/>
    </row>
    <row r="32" spans="1:6" ht="15">
      <c r="A32" s="337">
        <v>13</v>
      </c>
      <c r="B32" s="343" t="s">
        <v>585</v>
      </c>
      <c r="C32" s="628">
        <v>4495186.3362999996</v>
      </c>
      <c r="D32" s="75"/>
      <c r="E32" s="74"/>
      <c r="F32" s="619"/>
    </row>
    <row r="33" spans="1:6" ht="15">
      <c r="A33" s="337">
        <v>13.1</v>
      </c>
      <c r="B33" s="348" t="s">
        <v>586</v>
      </c>
      <c r="C33" s="628">
        <v>0</v>
      </c>
      <c r="D33" s="75"/>
      <c r="E33" s="74"/>
      <c r="F33" s="619"/>
    </row>
    <row r="34" spans="1:6" ht="15">
      <c r="A34" s="337">
        <v>13.2</v>
      </c>
      <c r="B34" s="348" t="s">
        <v>587</v>
      </c>
      <c r="C34" s="630">
        <v>0</v>
      </c>
      <c r="D34" s="77"/>
      <c r="E34" s="74"/>
      <c r="F34" s="619"/>
    </row>
    <row r="35" spans="1:6" ht="15">
      <c r="A35" s="337">
        <v>14</v>
      </c>
      <c r="B35" s="349" t="s">
        <v>588</v>
      </c>
      <c r="C35" s="542">
        <f>SUM(C6,C10,C12,C13,C14,C18,C21,C22,C23,C26,C29,C32)</f>
        <v>1614918935.0587127</v>
      </c>
      <c r="D35" s="77"/>
      <c r="E35" s="74"/>
      <c r="F35" s="619"/>
    </row>
    <row r="36" spans="1:6" ht="15">
      <c r="A36" s="337"/>
      <c r="B36" s="350" t="s">
        <v>589</v>
      </c>
      <c r="C36" s="633"/>
      <c r="D36" s="79"/>
      <c r="E36" s="74"/>
      <c r="F36" s="619"/>
    </row>
    <row r="37" spans="1:6" ht="15">
      <c r="A37" s="337">
        <v>15</v>
      </c>
      <c r="B37" s="351" t="s">
        <v>590</v>
      </c>
      <c r="C37" s="631">
        <v>0</v>
      </c>
      <c r="D37" s="394"/>
      <c r="E37" s="78"/>
      <c r="F37" s="619"/>
    </row>
    <row r="38" spans="1:6" ht="15">
      <c r="A38" s="352">
        <v>15.1</v>
      </c>
      <c r="B38" s="353" t="s">
        <v>566</v>
      </c>
      <c r="C38" s="628">
        <v>0</v>
      </c>
      <c r="D38" s="75"/>
      <c r="E38" s="74"/>
      <c r="F38" s="619"/>
    </row>
    <row r="39" spans="1:6" ht="15">
      <c r="A39" s="352">
        <v>16</v>
      </c>
      <c r="B39" s="340" t="s">
        <v>591</v>
      </c>
      <c r="C39" s="628">
        <v>0</v>
      </c>
      <c r="D39" s="75"/>
      <c r="E39" s="74"/>
      <c r="F39" s="619"/>
    </row>
    <row r="40" spans="1:6" ht="15">
      <c r="A40" s="352">
        <v>17</v>
      </c>
      <c r="B40" s="340" t="s">
        <v>592</v>
      </c>
      <c r="C40" s="628">
        <f>SUM(C41:C44)</f>
        <v>1131293060.305438</v>
      </c>
      <c r="D40" s="75"/>
      <c r="E40" s="74"/>
      <c r="F40" s="619"/>
    </row>
    <row r="41" spans="1:6" ht="15">
      <c r="A41" s="352">
        <v>17.100000000000001</v>
      </c>
      <c r="B41" s="354" t="s">
        <v>593</v>
      </c>
      <c r="C41" s="628">
        <v>1129260597.2498</v>
      </c>
      <c r="D41" s="75"/>
      <c r="E41" s="74"/>
      <c r="F41" s="619"/>
    </row>
    <row r="42" spans="1:6" ht="15">
      <c r="A42" s="352">
        <v>17.2</v>
      </c>
      <c r="B42" s="355" t="s">
        <v>594</v>
      </c>
      <c r="C42" s="628">
        <v>0</v>
      </c>
      <c r="D42" s="75"/>
      <c r="E42" s="74"/>
      <c r="F42" s="619"/>
    </row>
    <row r="43" spans="1:6" ht="15">
      <c r="A43" s="352">
        <v>17.3</v>
      </c>
      <c r="B43" s="388" t="s">
        <v>595</v>
      </c>
      <c r="C43" s="630">
        <v>0</v>
      </c>
      <c r="D43" s="77"/>
      <c r="E43" s="74"/>
      <c r="F43" s="619"/>
    </row>
    <row r="44" spans="1:6" ht="15">
      <c r="A44" s="352">
        <v>17.399999999999999</v>
      </c>
      <c r="B44" s="389" t="s">
        <v>596</v>
      </c>
      <c r="C44" s="550">
        <v>2032463.0556380092</v>
      </c>
      <c r="D44" s="75"/>
      <c r="E44" s="74"/>
      <c r="F44" s="619"/>
    </row>
    <row r="45" spans="1:6" ht="15">
      <c r="A45" s="352">
        <v>18</v>
      </c>
      <c r="B45" s="363" t="s">
        <v>597</v>
      </c>
      <c r="C45" s="549">
        <v>270003.46847978223</v>
      </c>
      <c r="D45" s="75"/>
      <c r="E45" s="78"/>
      <c r="F45" s="619"/>
    </row>
    <row r="46" spans="1:6" ht="15">
      <c r="A46" s="352">
        <v>19</v>
      </c>
      <c r="B46" s="363" t="s">
        <v>598</v>
      </c>
      <c r="C46" s="548">
        <f>SUM(C47:C48)</f>
        <v>9446056.2293110881</v>
      </c>
      <c r="D46" s="75"/>
      <c r="F46" s="619"/>
    </row>
    <row r="47" spans="1:6" ht="15">
      <c r="A47" s="352">
        <v>19.100000000000001</v>
      </c>
      <c r="B47" s="390" t="s">
        <v>599</v>
      </c>
      <c r="C47" s="548">
        <v>8839511.3066509664</v>
      </c>
      <c r="D47" s="75"/>
      <c r="F47" s="619"/>
    </row>
    <row r="48" spans="1:6" ht="15">
      <c r="A48" s="352">
        <v>19.2</v>
      </c>
      <c r="B48" s="390" t="s">
        <v>600</v>
      </c>
      <c r="C48" s="548">
        <v>606544.92266012123</v>
      </c>
      <c r="D48" s="75"/>
      <c r="F48" s="619"/>
    </row>
    <row r="49" spans="1:6" ht="15.75">
      <c r="A49" s="352">
        <v>20</v>
      </c>
      <c r="B49" s="358" t="s">
        <v>601</v>
      </c>
      <c r="C49" s="548">
        <v>78258757.831299767</v>
      </c>
      <c r="D49" s="489" t="s">
        <v>738</v>
      </c>
      <c r="F49" s="619"/>
    </row>
    <row r="50" spans="1:6" ht="15">
      <c r="A50" s="352">
        <v>21</v>
      </c>
      <c r="B50" s="391" t="s">
        <v>602</v>
      </c>
      <c r="C50" s="548">
        <v>1045619.1218999999</v>
      </c>
      <c r="D50" s="75"/>
      <c r="F50" s="619"/>
    </row>
    <row r="51" spans="1:6" ht="15">
      <c r="A51" s="352">
        <v>21.1</v>
      </c>
      <c r="B51" s="355" t="s">
        <v>603</v>
      </c>
      <c r="C51" s="548">
        <v>0</v>
      </c>
      <c r="D51" s="75"/>
      <c r="F51" s="619"/>
    </row>
    <row r="52" spans="1:6" ht="15">
      <c r="A52" s="352">
        <v>22</v>
      </c>
      <c r="B52" s="359" t="s">
        <v>604</v>
      </c>
      <c r="C52" s="543">
        <f>SUM(C37,C39,C40,C45,C46,C49,C50)</f>
        <v>1220313496.9564288</v>
      </c>
      <c r="D52" s="75"/>
      <c r="F52" s="619"/>
    </row>
    <row r="53" spans="1:6" ht="15">
      <c r="A53" s="352"/>
      <c r="B53" s="360" t="s">
        <v>605</v>
      </c>
      <c r="C53" s="634"/>
      <c r="D53" s="75"/>
      <c r="F53" s="619"/>
    </row>
    <row r="54" spans="1:6" ht="15.75">
      <c r="A54" s="352">
        <v>23</v>
      </c>
      <c r="B54" s="358" t="s">
        <v>606</v>
      </c>
      <c r="C54" s="548">
        <v>114430000</v>
      </c>
      <c r="D54" s="489" t="s">
        <v>739</v>
      </c>
      <c r="F54" s="619"/>
    </row>
    <row r="55" spans="1:6" ht="15">
      <c r="A55" s="352">
        <v>24</v>
      </c>
      <c r="B55" s="358" t="s">
        <v>607</v>
      </c>
      <c r="C55" s="548">
        <v>0</v>
      </c>
      <c r="D55" s="75"/>
      <c r="F55" s="619"/>
    </row>
    <row r="56" spans="1:6" ht="15">
      <c r="A56" s="352">
        <v>25</v>
      </c>
      <c r="B56" s="363" t="s">
        <v>608</v>
      </c>
      <c r="C56" s="548">
        <v>0</v>
      </c>
      <c r="D56" s="75"/>
      <c r="F56" s="619"/>
    </row>
    <row r="57" spans="1:6" ht="15">
      <c r="A57" s="352">
        <v>26</v>
      </c>
      <c r="B57" s="363" t="s">
        <v>609</v>
      </c>
      <c r="C57" s="548">
        <v>0</v>
      </c>
      <c r="D57" s="75"/>
      <c r="F57" s="619"/>
    </row>
    <row r="58" spans="1:6" ht="15">
      <c r="A58" s="352">
        <v>27</v>
      </c>
      <c r="B58" s="363" t="s">
        <v>610</v>
      </c>
      <c r="C58" s="548">
        <f>SUM(C59:C60)</f>
        <v>25763611.367281228</v>
      </c>
      <c r="D58" s="75"/>
      <c r="F58" s="619"/>
    </row>
    <row r="59" spans="1:6" ht="15.75">
      <c r="A59" s="352">
        <v>27.1</v>
      </c>
      <c r="B59" s="389" t="s">
        <v>611</v>
      </c>
      <c r="C59" s="548">
        <v>25763611.367281228</v>
      </c>
      <c r="D59" s="489" t="s">
        <v>740</v>
      </c>
      <c r="F59" s="619"/>
    </row>
    <row r="60" spans="1:6" ht="15">
      <c r="A60" s="352">
        <v>27.2</v>
      </c>
      <c r="B60" s="389" t="s">
        <v>612</v>
      </c>
      <c r="C60" s="548">
        <v>0</v>
      </c>
      <c r="D60" s="75"/>
      <c r="F60" s="619"/>
    </row>
    <row r="61" spans="1:6" ht="15">
      <c r="A61" s="352">
        <v>28</v>
      </c>
      <c r="B61" s="361" t="s">
        <v>613</v>
      </c>
      <c r="C61" s="548">
        <v>0</v>
      </c>
      <c r="D61" s="75"/>
      <c r="F61" s="619"/>
    </row>
    <row r="62" spans="1:6" ht="15">
      <c r="A62" s="352">
        <v>29</v>
      </c>
      <c r="B62" s="363" t="s">
        <v>614</v>
      </c>
      <c r="C62" s="548">
        <f>SUM(C63:C65)</f>
        <v>12880</v>
      </c>
      <c r="D62" s="75"/>
      <c r="F62" s="619"/>
    </row>
    <row r="63" spans="1:6" ht="15">
      <c r="A63" s="352">
        <v>29.1</v>
      </c>
      <c r="B63" s="392" t="s">
        <v>615</v>
      </c>
      <c r="C63" s="548">
        <v>0</v>
      </c>
      <c r="D63" s="75"/>
      <c r="F63" s="619"/>
    </row>
    <row r="64" spans="1:6" ht="15">
      <c r="A64" s="352">
        <v>29.2</v>
      </c>
      <c r="B64" s="390" t="s">
        <v>616</v>
      </c>
      <c r="C64" s="548">
        <v>0</v>
      </c>
      <c r="D64" s="75"/>
      <c r="F64" s="619"/>
    </row>
    <row r="65" spans="1:6" ht="15.75">
      <c r="A65" s="352">
        <v>29.3</v>
      </c>
      <c r="B65" s="390" t="s">
        <v>617</v>
      </c>
      <c r="C65" s="548">
        <v>12880</v>
      </c>
      <c r="D65" s="489" t="s">
        <v>741</v>
      </c>
      <c r="F65" s="619"/>
    </row>
    <row r="66" spans="1:6" ht="15.75">
      <c r="A66" s="352">
        <v>30</v>
      </c>
      <c r="B66" s="363" t="s">
        <v>618</v>
      </c>
      <c r="C66" s="548">
        <v>254398949.31040269</v>
      </c>
      <c r="D66" s="489" t="s">
        <v>742</v>
      </c>
      <c r="F66" s="619"/>
    </row>
    <row r="67" spans="1:6" ht="15">
      <c r="A67" s="352">
        <v>31</v>
      </c>
      <c r="B67" s="393" t="s">
        <v>619</v>
      </c>
      <c r="C67" s="548">
        <f>SUM(C54,C55,C56,C57,C58,C61,C62,C66)</f>
        <v>394605440.67768395</v>
      </c>
      <c r="D67" s="75"/>
      <c r="F67" s="619"/>
    </row>
    <row r="68" spans="1:6" ht="15.75" thickBot="1">
      <c r="A68" s="547">
        <v>32</v>
      </c>
      <c r="B68" s="546" t="s">
        <v>620</v>
      </c>
      <c r="C68" s="544">
        <f>SUM(C52,C67)</f>
        <v>1614918937.6341128</v>
      </c>
      <c r="D68" s="545"/>
      <c r="F68" s="61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8"/>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95" style="4" customWidth="1"/>
    <col min="3" max="3" width="14" style="4" bestFit="1" customWidth="1"/>
    <col min="4" max="4" width="16.5703125" style="4" bestFit="1" customWidth="1"/>
    <col min="5" max="5" width="15" style="4" bestFit="1" customWidth="1"/>
    <col min="6" max="6" width="16.5703125" style="4" bestFit="1" customWidth="1"/>
    <col min="7" max="7" width="13.140625" style="4" bestFit="1" customWidth="1"/>
    <col min="8" max="8" width="13.42578125" style="4" bestFit="1" customWidth="1"/>
    <col min="9" max="9" width="15" style="4" bestFit="1" customWidth="1"/>
    <col min="10" max="10" width="13.42578125" style="4" bestFit="1" customWidth="1"/>
    <col min="11" max="11" width="13.140625" style="4" bestFit="1" customWidth="1"/>
    <col min="12" max="12" width="13.140625" style="19" bestFit="1" customWidth="1"/>
    <col min="13" max="13" width="16.5703125" style="19" bestFit="1" customWidth="1"/>
    <col min="14" max="14" width="14" style="19" bestFit="1" customWidth="1"/>
    <col min="15" max="16" width="13.140625" style="19" bestFit="1" customWidth="1"/>
    <col min="17" max="17" width="14.7109375" style="19" customWidth="1"/>
    <col min="18" max="18" width="13.140625" style="19" bestFit="1" customWidth="1"/>
    <col min="19" max="19" width="34.85546875" style="19" customWidth="1"/>
    <col min="20" max="16384" width="9.140625" style="19"/>
  </cols>
  <sheetData>
    <row r="1" spans="1:19">
      <c r="A1" s="2" t="s">
        <v>30</v>
      </c>
      <c r="B1" s="3" t="str">
        <f>'Info '!C2</f>
        <v>JSC Cartu Bank</v>
      </c>
    </row>
    <row r="2" spans="1:19">
      <c r="A2" s="2" t="s">
        <v>31</v>
      </c>
      <c r="B2" s="663">
        <f>'1. key ratios '!B2</f>
        <v>45107</v>
      </c>
    </row>
    <row r="4" spans="1:19" ht="26.25" thickBot="1">
      <c r="A4" s="4" t="s">
        <v>146</v>
      </c>
      <c r="B4" s="181" t="s">
        <v>251</v>
      </c>
    </row>
    <row r="5" spans="1:19" s="172" customFormat="1">
      <c r="A5" s="167"/>
      <c r="B5" s="168"/>
      <c r="C5" s="169" t="s">
        <v>0</v>
      </c>
      <c r="D5" s="169" t="s">
        <v>1</v>
      </c>
      <c r="E5" s="169" t="s">
        <v>2</v>
      </c>
      <c r="F5" s="169" t="s">
        <v>3</v>
      </c>
      <c r="G5" s="169" t="s">
        <v>4</v>
      </c>
      <c r="H5" s="169" t="s">
        <v>5</v>
      </c>
      <c r="I5" s="169" t="s">
        <v>8</v>
      </c>
      <c r="J5" s="169" t="s">
        <v>9</v>
      </c>
      <c r="K5" s="169" t="s">
        <v>10</v>
      </c>
      <c r="L5" s="169" t="s">
        <v>11</v>
      </c>
      <c r="M5" s="169" t="s">
        <v>12</v>
      </c>
      <c r="N5" s="169" t="s">
        <v>13</v>
      </c>
      <c r="O5" s="169" t="s">
        <v>235</v>
      </c>
      <c r="P5" s="169" t="s">
        <v>236</v>
      </c>
      <c r="Q5" s="169" t="s">
        <v>237</v>
      </c>
      <c r="R5" s="170" t="s">
        <v>238</v>
      </c>
      <c r="S5" s="171" t="s">
        <v>239</v>
      </c>
    </row>
    <row r="6" spans="1:19" s="172" customFormat="1" ht="99" customHeight="1">
      <c r="A6" s="173"/>
      <c r="B6" s="719" t="s">
        <v>240</v>
      </c>
      <c r="C6" s="715">
        <v>0</v>
      </c>
      <c r="D6" s="716"/>
      <c r="E6" s="715">
        <v>0.2</v>
      </c>
      <c r="F6" s="716"/>
      <c r="G6" s="715">
        <v>0.35</v>
      </c>
      <c r="H6" s="716"/>
      <c r="I6" s="715">
        <v>0.5</v>
      </c>
      <c r="J6" s="716"/>
      <c r="K6" s="715">
        <v>0.75</v>
      </c>
      <c r="L6" s="716"/>
      <c r="M6" s="715">
        <v>1</v>
      </c>
      <c r="N6" s="716"/>
      <c r="O6" s="715">
        <v>1.5</v>
      </c>
      <c r="P6" s="716"/>
      <c r="Q6" s="715">
        <v>2.5</v>
      </c>
      <c r="R6" s="716"/>
      <c r="S6" s="717" t="s">
        <v>145</v>
      </c>
    </row>
    <row r="7" spans="1:19" s="172" customFormat="1" ht="30.75" customHeight="1">
      <c r="A7" s="173"/>
      <c r="B7" s="720"/>
      <c r="C7" s="164" t="s">
        <v>148</v>
      </c>
      <c r="D7" s="164" t="s">
        <v>147</v>
      </c>
      <c r="E7" s="164" t="s">
        <v>148</v>
      </c>
      <c r="F7" s="164" t="s">
        <v>147</v>
      </c>
      <c r="G7" s="164" t="s">
        <v>148</v>
      </c>
      <c r="H7" s="164" t="s">
        <v>147</v>
      </c>
      <c r="I7" s="164" t="s">
        <v>148</v>
      </c>
      <c r="J7" s="164" t="s">
        <v>147</v>
      </c>
      <c r="K7" s="164" t="s">
        <v>148</v>
      </c>
      <c r="L7" s="164" t="s">
        <v>147</v>
      </c>
      <c r="M7" s="164" t="s">
        <v>148</v>
      </c>
      <c r="N7" s="164" t="s">
        <v>147</v>
      </c>
      <c r="O7" s="164" t="s">
        <v>148</v>
      </c>
      <c r="P7" s="164" t="s">
        <v>147</v>
      </c>
      <c r="Q7" s="164" t="s">
        <v>148</v>
      </c>
      <c r="R7" s="164" t="s">
        <v>147</v>
      </c>
      <c r="S7" s="718"/>
    </row>
    <row r="8" spans="1:19">
      <c r="A8" s="80">
        <v>1</v>
      </c>
      <c r="B8" s="1" t="s">
        <v>51</v>
      </c>
      <c r="C8" s="541">
        <v>34367868.441746578</v>
      </c>
      <c r="D8" s="541"/>
      <c r="E8" s="541">
        <v>0</v>
      </c>
      <c r="F8" s="541"/>
      <c r="G8" s="541">
        <v>0</v>
      </c>
      <c r="H8" s="541"/>
      <c r="I8" s="541">
        <v>0</v>
      </c>
      <c r="J8" s="541"/>
      <c r="K8" s="541">
        <v>0</v>
      </c>
      <c r="L8" s="541"/>
      <c r="M8" s="541">
        <v>240529266.42573732</v>
      </c>
      <c r="N8" s="541"/>
      <c r="O8" s="541">
        <v>0</v>
      </c>
      <c r="P8" s="541"/>
      <c r="Q8" s="541">
        <v>0</v>
      </c>
      <c r="R8" s="541"/>
      <c r="S8" s="541">
        <f>$C$6*SUM(C8:D8)+$E$6*SUM(E8:F8)+$G$6*SUM(G8:H8)+$I$6*SUM(I8:J8)+$K$6*SUM(K8:L8)+$M$6*SUM(M8:N8)+$O$6*SUM(O8:P8)+$Q$6*SUM(Q8:R8)</f>
        <v>240529266.42573732</v>
      </c>
    </row>
    <row r="9" spans="1:19">
      <c r="A9" s="80">
        <v>2</v>
      </c>
      <c r="B9" s="1" t="s">
        <v>52</v>
      </c>
      <c r="C9" s="541">
        <v>0</v>
      </c>
      <c r="D9" s="541"/>
      <c r="E9" s="541">
        <v>0</v>
      </c>
      <c r="F9" s="541"/>
      <c r="G9" s="541">
        <v>0</v>
      </c>
      <c r="H9" s="541"/>
      <c r="I9" s="541">
        <v>0</v>
      </c>
      <c r="J9" s="541"/>
      <c r="K9" s="541">
        <v>0</v>
      </c>
      <c r="L9" s="541"/>
      <c r="M9" s="541">
        <v>0</v>
      </c>
      <c r="N9" s="541"/>
      <c r="O9" s="541">
        <v>0</v>
      </c>
      <c r="P9" s="541"/>
      <c r="Q9" s="541">
        <v>0</v>
      </c>
      <c r="R9" s="541"/>
      <c r="S9" s="541">
        <f t="shared" ref="S9:S21" si="0">$C$6*SUM(C9:D9)+$E$6*SUM(E9:F9)+$G$6*SUM(G9:H9)+$I$6*SUM(I9:J9)+$K$6*SUM(K9:L9)+$M$6*SUM(M9:N9)+$O$6*SUM(O9:P9)+$Q$6*SUM(Q9:R9)</f>
        <v>0</v>
      </c>
    </row>
    <row r="10" spans="1:19">
      <c r="A10" s="80">
        <v>3</v>
      </c>
      <c r="B10" s="1" t="s">
        <v>164</v>
      </c>
      <c r="C10" s="541">
        <v>0</v>
      </c>
      <c r="D10" s="541"/>
      <c r="E10" s="541">
        <v>0</v>
      </c>
      <c r="F10" s="541"/>
      <c r="G10" s="541">
        <v>0</v>
      </c>
      <c r="H10" s="541"/>
      <c r="I10" s="541">
        <v>0</v>
      </c>
      <c r="J10" s="541"/>
      <c r="K10" s="541">
        <v>0</v>
      </c>
      <c r="L10" s="541"/>
      <c r="M10" s="541">
        <v>0</v>
      </c>
      <c r="N10" s="541"/>
      <c r="O10" s="541">
        <v>0</v>
      </c>
      <c r="P10" s="541"/>
      <c r="Q10" s="541">
        <v>0</v>
      </c>
      <c r="R10" s="541"/>
      <c r="S10" s="541">
        <f t="shared" si="0"/>
        <v>0</v>
      </c>
    </row>
    <row r="11" spans="1:19">
      <c r="A11" s="80">
        <v>4</v>
      </c>
      <c r="B11" s="1" t="s">
        <v>53</v>
      </c>
      <c r="C11" s="541">
        <v>0</v>
      </c>
      <c r="D11" s="541"/>
      <c r="E11" s="541">
        <v>0</v>
      </c>
      <c r="F11" s="541"/>
      <c r="G11" s="541">
        <v>0</v>
      </c>
      <c r="H11" s="541"/>
      <c r="I11" s="541">
        <v>0</v>
      </c>
      <c r="J11" s="541"/>
      <c r="K11" s="541">
        <v>0</v>
      </c>
      <c r="L11" s="541"/>
      <c r="M11" s="541">
        <v>0</v>
      </c>
      <c r="N11" s="541"/>
      <c r="O11" s="541">
        <v>0</v>
      </c>
      <c r="P11" s="541"/>
      <c r="Q11" s="541">
        <v>0</v>
      </c>
      <c r="R11" s="541"/>
      <c r="S11" s="541">
        <f t="shared" si="0"/>
        <v>0</v>
      </c>
    </row>
    <row r="12" spans="1:19">
      <c r="A12" s="80">
        <v>5</v>
      </c>
      <c r="B12" s="1" t="s">
        <v>54</v>
      </c>
      <c r="C12" s="541">
        <v>0</v>
      </c>
      <c r="D12" s="541"/>
      <c r="E12" s="541">
        <v>0</v>
      </c>
      <c r="F12" s="541"/>
      <c r="G12" s="541">
        <v>0</v>
      </c>
      <c r="H12" s="541"/>
      <c r="I12" s="541">
        <v>0</v>
      </c>
      <c r="J12" s="541"/>
      <c r="K12" s="541">
        <v>0</v>
      </c>
      <c r="L12" s="541"/>
      <c r="M12" s="541">
        <v>0</v>
      </c>
      <c r="N12" s="541"/>
      <c r="O12" s="541">
        <v>0</v>
      </c>
      <c r="P12" s="541"/>
      <c r="Q12" s="541">
        <v>0</v>
      </c>
      <c r="R12" s="541"/>
      <c r="S12" s="541">
        <f t="shared" si="0"/>
        <v>0</v>
      </c>
    </row>
    <row r="13" spans="1:19">
      <c r="A13" s="80">
        <v>6</v>
      </c>
      <c r="B13" s="1" t="s">
        <v>55</v>
      </c>
      <c r="C13" s="541">
        <v>0</v>
      </c>
      <c r="D13" s="541"/>
      <c r="E13" s="541">
        <v>274890107.33696508</v>
      </c>
      <c r="F13" s="541"/>
      <c r="G13" s="541">
        <v>0</v>
      </c>
      <c r="H13" s="541"/>
      <c r="I13" s="541">
        <v>100324993.24286853</v>
      </c>
      <c r="J13" s="541"/>
      <c r="K13" s="541">
        <v>0</v>
      </c>
      <c r="L13" s="541"/>
      <c r="M13" s="541">
        <v>7812580.000374753</v>
      </c>
      <c r="N13" s="541"/>
      <c r="O13" s="541">
        <v>0</v>
      </c>
      <c r="P13" s="541"/>
      <c r="Q13" s="541">
        <v>0</v>
      </c>
      <c r="R13" s="541"/>
      <c r="S13" s="541">
        <f t="shared" si="0"/>
        <v>112953098.08920203</v>
      </c>
    </row>
    <row r="14" spans="1:19">
      <c r="A14" s="80">
        <v>7</v>
      </c>
      <c r="B14" s="1" t="s">
        <v>56</v>
      </c>
      <c r="C14" s="541">
        <v>0</v>
      </c>
      <c r="D14" s="541"/>
      <c r="E14" s="541">
        <v>0</v>
      </c>
      <c r="F14" s="541"/>
      <c r="G14" s="541">
        <v>0</v>
      </c>
      <c r="H14" s="541"/>
      <c r="I14" s="541">
        <v>0</v>
      </c>
      <c r="J14" s="541"/>
      <c r="K14" s="541">
        <v>0</v>
      </c>
      <c r="L14" s="541"/>
      <c r="M14" s="541">
        <v>678262131.8408767</v>
      </c>
      <c r="N14" s="541">
        <v>44355966.310433283</v>
      </c>
      <c r="O14" s="541">
        <v>0</v>
      </c>
      <c r="P14" s="541"/>
      <c r="Q14" s="541">
        <v>0</v>
      </c>
      <c r="R14" s="541"/>
      <c r="S14" s="541">
        <f t="shared" si="0"/>
        <v>722618098.15130997</v>
      </c>
    </row>
    <row r="15" spans="1:19">
      <c r="A15" s="80">
        <v>8</v>
      </c>
      <c r="B15" s="1" t="s">
        <v>57</v>
      </c>
      <c r="C15" s="541">
        <v>0</v>
      </c>
      <c r="D15" s="541"/>
      <c r="E15" s="541">
        <v>0</v>
      </c>
      <c r="F15" s="541"/>
      <c r="G15" s="541">
        <v>0</v>
      </c>
      <c r="H15" s="541"/>
      <c r="I15" s="541">
        <v>0</v>
      </c>
      <c r="J15" s="541"/>
      <c r="K15" s="541">
        <v>0</v>
      </c>
      <c r="L15" s="541"/>
      <c r="M15" s="541">
        <v>0</v>
      </c>
      <c r="N15" s="541"/>
      <c r="O15" s="541">
        <v>0</v>
      </c>
      <c r="P15" s="541"/>
      <c r="Q15" s="541">
        <v>0</v>
      </c>
      <c r="R15" s="541"/>
      <c r="S15" s="541">
        <f t="shared" si="0"/>
        <v>0</v>
      </c>
    </row>
    <row r="16" spans="1:19">
      <c r="A16" s="80">
        <v>9</v>
      </c>
      <c r="B16" s="1" t="s">
        <v>58</v>
      </c>
      <c r="C16" s="541">
        <v>0</v>
      </c>
      <c r="D16" s="541"/>
      <c r="E16" s="541">
        <v>0</v>
      </c>
      <c r="F16" s="541"/>
      <c r="G16" s="541">
        <v>0</v>
      </c>
      <c r="H16" s="541"/>
      <c r="I16" s="541">
        <v>0</v>
      </c>
      <c r="J16" s="541"/>
      <c r="K16" s="541">
        <v>0</v>
      </c>
      <c r="L16" s="541"/>
      <c r="M16" s="541">
        <v>0</v>
      </c>
      <c r="N16" s="541"/>
      <c r="O16" s="541">
        <v>0</v>
      </c>
      <c r="P16" s="541"/>
      <c r="Q16" s="541">
        <v>0</v>
      </c>
      <c r="R16" s="541"/>
      <c r="S16" s="541">
        <f t="shared" si="0"/>
        <v>0</v>
      </c>
    </row>
    <row r="17" spans="1:19">
      <c r="A17" s="80">
        <v>10</v>
      </c>
      <c r="B17" s="1" t="s">
        <v>59</v>
      </c>
      <c r="C17" s="541">
        <v>0</v>
      </c>
      <c r="D17" s="541"/>
      <c r="E17" s="541">
        <v>0</v>
      </c>
      <c r="F17" s="541"/>
      <c r="G17" s="541">
        <v>0</v>
      </c>
      <c r="H17" s="541"/>
      <c r="I17" s="541">
        <v>0</v>
      </c>
      <c r="J17" s="541"/>
      <c r="K17" s="541">
        <v>0</v>
      </c>
      <c r="L17" s="541"/>
      <c r="M17" s="541">
        <v>71427530.062587574</v>
      </c>
      <c r="N17" s="541">
        <v>99682.20439997116</v>
      </c>
      <c r="O17" s="541">
        <v>0</v>
      </c>
      <c r="P17" s="541"/>
      <c r="Q17" s="541">
        <v>0</v>
      </c>
      <c r="R17" s="541"/>
      <c r="S17" s="541">
        <f t="shared" si="0"/>
        <v>71527212.266987547</v>
      </c>
    </row>
    <row r="18" spans="1:19">
      <c r="A18" s="80">
        <v>11</v>
      </c>
      <c r="B18" s="1" t="s">
        <v>60</v>
      </c>
      <c r="C18" s="541">
        <v>0</v>
      </c>
      <c r="D18" s="541"/>
      <c r="E18" s="541">
        <v>0</v>
      </c>
      <c r="F18" s="541"/>
      <c r="G18" s="541">
        <v>0</v>
      </c>
      <c r="H18" s="541"/>
      <c r="I18" s="541">
        <v>0</v>
      </c>
      <c r="J18" s="541"/>
      <c r="K18" s="541">
        <v>0</v>
      </c>
      <c r="L18" s="541"/>
      <c r="M18" s="541">
        <v>0</v>
      </c>
      <c r="N18" s="541"/>
      <c r="O18" s="541">
        <v>0</v>
      </c>
      <c r="P18" s="541"/>
      <c r="Q18" s="541">
        <v>0</v>
      </c>
      <c r="R18" s="541"/>
      <c r="S18" s="541">
        <f t="shared" si="0"/>
        <v>0</v>
      </c>
    </row>
    <row r="19" spans="1:19">
      <c r="A19" s="80">
        <v>12</v>
      </c>
      <c r="B19" s="1" t="s">
        <v>61</v>
      </c>
      <c r="C19" s="541">
        <v>0</v>
      </c>
      <c r="D19" s="541"/>
      <c r="E19" s="541">
        <v>0</v>
      </c>
      <c r="F19" s="541"/>
      <c r="G19" s="541">
        <v>0</v>
      </c>
      <c r="H19" s="541"/>
      <c r="I19" s="541">
        <v>0</v>
      </c>
      <c r="J19" s="541"/>
      <c r="K19" s="541">
        <v>0</v>
      </c>
      <c r="L19" s="541"/>
      <c r="M19" s="541">
        <v>0</v>
      </c>
      <c r="N19" s="541"/>
      <c r="O19" s="541">
        <v>0</v>
      </c>
      <c r="P19" s="541"/>
      <c r="Q19" s="541">
        <v>0</v>
      </c>
      <c r="R19" s="541"/>
      <c r="S19" s="541">
        <f t="shared" si="0"/>
        <v>0</v>
      </c>
    </row>
    <row r="20" spans="1:19">
      <c r="A20" s="80">
        <v>13</v>
      </c>
      <c r="B20" s="1" t="s">
        <v>144</v>
      </c>
      <c r="C20" s="541">
        <v>0</v>
      </c>
      <c r="D20" s="541"/>
      <c r="E20" s="541">
        <v>0</v>
      </c>
      <c r="F20" s="541"/>
      <c r="G20" s="541">
        <v>0</v>
      </c>
      <c r="H20" s="541"/>
      <c r="I20" s="541">
        <v>0</v>
      </c>
      <c r="J20" s="541"/>
      <c r="K20" s="541">
        <v>0</v>
      </c>
      <c r="L20" s="541"/>
      <c r="M20" s="541">
        <v>0</v>
      </c>
      <c r="N20" s="541"/>
      <c r="O20" s="541">
        <v>0</v>
      </c>
      <c r="P20" s="541"/>
      <c r="Q20" s="541">
        <v>0</v>
      </c>
      <c r="R20" s="541"/>
      <c r="S20" s="541">
        <f t="shared" si="0"/>
        <v>0</v>
      </c>
    </row>
    <row r="21" spans="1:19">
      <c r="A21" s="80">
        <v>14</v>
      </c>
      <c r="B21" s="1" t="s">
        <v>63</v>
      </c>
      <c r="C21" s="541">
        <v>32750046.868629508</v>
      </c>
      <c r="D21" s="541"/>
      <c r="E21" s="541">
        <v>0</v>
      </c>
      <c r="F21" s="541"/>
      <c r="G21" s="541">
        <v>0</v>
      </c>
      <c r="H21" s="541"/>
      <c r="I21" s="541">
        <v>0</v>
      </c>
      <c r="J21" s="541"/>
      <c r="K21" s="541">
        <v>0</v>
      </c>
      <c r="L21" s="541"/>
      <c r="M21" s="541">
        <v>154495811.18383136</v>
      </c>
      <c r="N21" s="541">
        <v>1211502.0084329578</v>
      </c>
      <c r="O21" s="541">
        <v>0</v>
      </c>
      <c r="P21" s="541"/>
      <c r="Q21" s="541">
        <v>14546080.816385072</v>
      </c>
      <c r="R21" s="541"/>
      <c r="S21" s="541">
        <f t="shared" si="0"/>
        <v>192072515.23322701</v>
      </c>
    </row>
    <row r="22" spans="1:19" ht="13.5" thickBot="1">
      <c r="A22" s="81"/>
      <c r="B22" s="82" t="s">
        <v>64</v>
      </c>
      <c r="C22" s="635">
        <f>SUM(C8:C21)</f>
        <v>67117915.310376078</v>
      </c>
      <c r="D22" s="635">
        <f t="shared" ref="D22:J22" si="1">SUM(D8:D21)</f>
        <v>0</v>
      </c>
      <c r="E22" s="635">
        <f t="shared" si="1"/>
        <v>274890107.33696508</v>
      </c>
      <c r="F22" s="635">
        <f t="shared" si="1"/>
        <v>0</v>
      </c>
      <c r="G22" s="635">
        <f t="shared" si="1"/>
        <v>0</v>
      </c>
      <c r="H22" s="635">
        <f t="shared" si="1"/>
        <v>0</v>
      </c>
      <c r="I22" s="635">
        <f t="shared" si="1"/>
        <v>100324993.24286853</v>
      </c>
      <c r="J22" s="635">
        <f t="shared" si="1"/>
        <v>0</v>
      </c>
      <c r="K22" s="635">
        <f t="shared" ref="K22:S22" si="2">SUM(K8:K21)</f>
        <v>0</v>
      </c>
      <c r="L22" s="635">
        <f t="shared" si="2"/>
        <v>0</v>
      </c>
      <c r="M22" s="635">
        <f t="shared" si="2"/>
        <v>1152527319.5134077</v>
      </c>
      <c r="N22" s="635">
        <f t="shared" si="2"/>
        <v>45667150.523266211</v>
      </c>
      <c r="O22" s="635">
        <f t="shared" si="2"/>
        <v>0</v>
      </c>
      <c r="P22" s="635">
        <f t="shared" si="2"/>
        <v>0</v>
      </c>
      <c r="Q22" s="635">
        <f t="shared" si="2"/>
        <v>14546080.816385072</v>
      </c>
      <c r="R22" s="635">
        <f t="shared" si="2"/>
        <v>0</v>
      </c>
      <c r="S22" s="635">
        <f t="shared" si="2"/>
        <v>1339700190.1664639</v>
      </c>
    </row>
    <row r="24" spans="1:19">
      <c r="C24" s="671"/>
      <c r="D24" s="671"/>
      <c r="E24" s="671"/>
      <c r="F24" s="671"/>
      <c r="G24" s="671"/>
      <c r="H24" s="671"/>
      <c r="I24" s="671"/>
      <c r="J24" s="671"/>
      <c r="K24" s="671"/>
      <c r="L24" s="671"/>
      <c r="M24" s="671"/>
      <c r="N24" s="671"/>
      <c r="O24" s="671"/>
      <c r="P24" s="671"/>
      <c r="Q24" s="671"/>
      <c r="R24" s="671"/>
      <c r="S24" s="671"/>
    </row>
    <row r="25" spans="1:19">
      <c r="C25" s="671"/>
      <c r="D25" s="671"/>
      <c r="E25" s="671"/>
      <c r="F25" s="671"/>
      <c r="G25" s="671"/>
      <c r="H25" s="671"/>
      <c r="I25" s="671"/>
      <c r="J25" s="671"/>
      <c r="K25" s="671"/>
      <c r="L25" s="671"/>
      <c r="M25" s="671"/>
      <c r="N25" s="671"/>
      <c r="O25" s="671"/>
      <c r="P25" s="671"/>
      <c r="Q25" s="671"/>
      <c r="R25" s="671"/>
      <c r="S25" s="671"/>
    </row>
    <row r="26" spans="1:19">
      <c r="C26" s="671"/>
      <c r="D26" s="671"/>
      <c r="E26" s="671"/>
      <c r="F26" s="671"/>
      <c r="G26" s="671"/>
      <c r="H26" s="671"/>
      <c r="I26" s="671"/>
      <c r="J26" s="671"/>
      <c r="K26" s="671"/>
      <c r="L26" s="671"/>
      <c r="M26" s="671"/>
      <c r="N26" s="671"/>
      <c r="O26" s="671"/>
      <c r="P26" s="671"/>
      <c r="Q26" s="671"/>
      <c r="R26" s="671"/>
      <c r="S26" s="671"/>
    </row>
    <row r="27" spans="1:19">
      <c r="C27" s="671"/>
      <c r="D27" s="671"/>
      <c r="E27" s="671"/>
      <c r="F27" s="671"/>
      <c r="G27" s="671"/>
      <c r="H27" s="671"/>
      <c r="I27" s="671"/>
      <c r="J27" s="671"/>
      <c r="K27" s="671"/>
      <c r="L27" s="671"/>
      <c r="M27" s="671"/>
      <c r="N27" s="671"/>
      <c r="O27" s="671"/>
      <c r="P27" s="671"/>
      <c r="Q27" s="671"/>
      <c r="R27" s="671"/>
      <c r="S27" s="671"/>
    </row>
    <row r="28" spans="1:19">
      <c r="C28" s="671"/>
      <c r="D28" s="671"/>
      <c r="E28" s="671"/>
      <c r="F28" s="671"/>
      <c r="G28" s="671"/>
      <c r="H28" s="671"/>
      <c r="I28" s="671"/>
      <c r="J28" s="671"/>
      <c r="K28" s="671"/>
      <c r="L28" s="671"/>
      <c r="M28" s="671"/>
      <c r="N28" s="671"/>
      <c r="O28" s="671"/>
      <c r="P28" s="671"/>
      <c r="Q28" s="671"/>
      <c r="R28" s="671"/>
      <c r="S28" s="671"/>
    </row>
    <row r="29" spans="1:19">
      <c r="C29" s="671"/>
      <c r="D29" s="671"/>
      <c r="E29" s="671"/>
      <c r="F29" s="671"/>
      <c r="G29" s="671"/>
      <c r="H29" s="671"/>
      <c r="I29" s="671"/>
      <c r="J29" s="671"/>
      <c r="K29" s="671"/>
      <c r="L29" s="671"/>
      <c r="M29" s="671"/>
      <c r="N29" s="671"/>
      <c r="O29" s="671"/>
      <c r="P29" s="671"/>
      <c r="Q29" s="671"/>
      <c r="R29" s="671"/>
      <c r="S29" s="671"/>
    </row>
    <row r="30" spans="1:19">
      <c r="C30" s="671"/>
      <c r="D30" s="671"/>
      <c r="E30" s="671"/>
      <c r="F30" s="671"/>
      <c r="G30" s="671"/>
      <c r="H30" s="671"/>
      <c r="I30" s="671"/>
      <c r="J30" s="671"/>
      <c r="K30" s="671"/>
      <c r="L30" s="671"/>
      <c r="M30" s="671"/>
      <c r="N30" s="671"/>
      <c r="O30" s="671"/>
      <c r="P30" s="671"/>
      <c r="Q30" s="671"/>
      <c r="R30" s="671"/>
      <c r="S30" s="671"/>
    </row>
    <row r="31" spans="1:19">
      <c r="C31" s="671"/>
      <c r="D31" s="671"/>
      <c r="E31" s="671"/>
      <c r="F31" s="671"/>
      <c r="G31" s="671"/>
      <c r="H31" s="671"/>
      <c r="I31" s="671"/>
      <c r="J31" s="671"/>
      <c r="K31" s="671"/>
      <c r="L31" s="671"/>
      <c r="M31" s="671"/>
      <c r="N31" s="671"/>
      <c r="O31" s="671"/>
      <c r="P31" s="671"/>
      <c r="Q31" s="671"/>
      <c r="R31" s="671"/>
      <c r="S31" s="671"/>
    </row>
    <row r="32" spans="1:19">
      <c r="C32" s="671"/>
      <c r="D32" s="671"/>
      <c r="E32" s="671"/>
      <c r="F32" s="671"/>
      <c r="G32" s="671"/>
      <c r="H32" s="671"/>
      <c r="I32" s="671"/>
      <c r="J32" s="671"/>
      <c r="K32" s="671"/>
      <c r="L32" s="671"/>
      <c r="M32" s="671"/>
      <c r="N32" s="671"/>
      <c r="O32" s="671"/>
      <c r="P32" s="671"/>
      <c r="Q32" s="671"/>
      <c r="R32" s="671"/>
      <c r="S32" s="671"/>
    </row>
    <row r="33" spans="3:19">
      <c r="C33" s="671"/>
      <c r="D33" s="671"/>
      <c r="E33" s="671"/>
      <c r="F33" s="671"/>
      <c r="G33" s="671"/>
      <c r="H33" s="671"/>
      <c r="I33" s="671"/>
      <c r="J33" s="671"/>
      <c r="K33" s="671"/>
      <c r="L33" s="671"/>
      <c r="M33" s="671"/>
      <c r="N33" s="671"/>
      <c r="O33" s="671"/>
      <c r="P33" s="671"/>
      <c r="Q33" s="671"/>
      <c r="R33" s="671"/>
      <c r="S33" s="671"/>
    </row>
    <row r="34" spans="3:19">
      <c r="C34" s="671"/>
      <c r="D34" s="671"/>
      <c r="E34" s="671"/>
      <c r="F34" s="671"/>
      <c r="G34" s="671"/>
      <c r="H34" s="671"/>
      <c r="I34" s="671"/>
      <c r="J34" s="671"/>
      <c r="K34" s="671"/>
      <c r="L34" s="671"/>
      <c r="M34" s="671"/>
      <c r="N34" s="671"/>
      <c r="O34" s="671"/>
      <c r="P34" s="671"/>
      <c r="Q34" s="671"/>
      <c r="R34" s="671"/>
      <c r="S34" s="671"/>
    </row>
    <row r="35" spans="3:19">
      <c r="C35" s="671"/>
      <c r="D35" s="671"/>
      <c r="E35" s="671"/>
      <c r="F35" s="671"/>
      <c r="G35" s="671"/>
      <c r="H35" s="671"/>
      <c r="I35" s="671"/>
      <c r="J35" s="671"/>
      <c r="K35" s="671"/>
      <c r="L35" s="671"/>
      <c r="M35" s="671"/>
      <c r="N35" s="671"/>
      <c r="O35" s="671"/>
      <c r="P35" s="671"/>
      <c r="Q35" s="671"/>
      <c r="R35" s="671"/>
      <c r="S35" s="671"/>
    </row>
    <row r="36" spans="3:19">
      <c r="C36" s="671"/>
      <c r="D36" s="671"/>
      <c r="E36" s="671"/>
      <c r="F36" s="671"/>
      <c r="G36" s="671"/>
      <c r="H36" s="671"/>
      <c r="I36" s="671"/>
      <c r="J36" s="671"/>
      <c r="K36" s="671"/>
      <c r="L36" s="671"/>
      <c r="M36" s="671"/>
      <c r="N36" s="671"/>
      <c r="O36" s="671"/>
      <c r="P36" s="671"/>
      <c r="Q36" s="671"/>
      <c r="R36" s="671"/>
      <c r="S36" s="671"/>
    </row>
    <row r="37" spans="3:19">
      <c r="C37" s="671"/>
      <c r="D37" s="671"/>
      <c r="E37" s="671"/>
      <c r="F37" s="671"/>
      <c r="G37" s="671"/>
      <c r="H37" s="671"/>
      <c r="I37" s="671"/>
      <c r="J37" s="671"/>
      <c r="K37" s="671"/>
      <c r="L37" s="671"/>
      <c r="M37" s="671"/>
      <c r="N37" s="671"/>
      <c r="O37" s="671"/>
      <c r="P37" s="671"/>
      <c r="Q37" s="671"/>
      <c r="R37" s="671"/>
      <c r="S37" s="671"/>
    </row>
    <row r="38" spans="3:19">
      <c r="C38" s="671"/>
      <c r="D38" s="671"/>
      <c r="E38" s="671"/>
      <c r="F38" s="671"/>
      <c r="G38" s="671"/>
      <c r="H38" s="671"/>
      <c r="I38" s="671"/>
      <c r="J38" s="671"/>
      <c r="K38" s="671"/>
      <c r="L38" s="671"/>
      <c r="M38" s="671"/>
      <c r="N38" s="671"/>
      <c r="O38" s="671"/>
      <c r="P38" s="671"/>
      <c r="Q38" s="671"/>
      <c r="R38" s="671"/>
      <c r="S38" s="671"/>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9"/>
  <sheetViews>
    <sheetView workbookViewId="0">
      <pane xSplit="2" ySplit="6" topLeftCell="C7"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9"/>
  </cols>
  <sheetData>
    <row r="1" spans="1:22">
      <c r="A1" s="2" t="s">
        <v>30</v>
      </c>
      <c r="B1" s="3" t="str">
        <f>'Info '!C2</f>
        <v>JSC Cartu Bank</v>
      </c>
    </row>
    <row r="2" spans="1:22">
      <c r="A2" s="2" t="s">
        <v>31</v>
      </c>
      <c r="B2" s="663">
        <f>'1. key ratios '!B2</f>
        <v>45107</v>
      </c>
    </row>
    <row r="4" spans="1:22" ht="13.5" thickBot="1">
      <c r="A4" s="4" t="s">
        <v>243</v>
      </c>
      <c r="B4" s="83" t="s">
        <v>50</v>
      </c>
      <c r="V4" s="20" t="s">
        <v>35</v>
      </c>
    </row>
    <row r="5" spans="1:22" ht="12.75" customHeight="1">
      <c r="A5" s="84"/>
      <c r="B5" s="85"/>
      <c r="C5" s="721" t="s">
        <v>169</v>
      </c>
      <c r="D5" s="722"/>
      <c r="E5" s="722"/>
      <c r="F5" s="722"/>
      <c r="G5" s="722"/>
      <c r="H5" s="722"/>
      <c r="I5" s="722"/>
      <c r="J5" s="722"/>
      <c r="K5" s="722"/>
      <c r="L5" s="723"/>
      <c r="M5" s="724" t="s">
        <v>170</v>
      </c>
      <c r="N5" s="725"/>
      <c r="O5" s="725"/>
      <c r="P5" s="725"/>
      <c r="Q5" s="725"/>
      <c r="R5" s="725"/>
      <c r="S5" s="726"/>
      <c r="T5" s="729" t="s">
        <v>241</v>
      </c>
      <c r="U5" s="729" t="s">
        <v>242</v>
      </c>
      <c r="V5" s="727" t="s">
        <v>76</v>
      </c>
    </row>
    <row r="6" spans="1:22" s="50" customFormat="1" ht="102">
      <c r="A6" s="48"/>
      <c r="B6" s="86"/>
      <c r="C6" s="87" t="s">
        <v>65</v>
      </c>
      <c r="D6" s="148" t="s">
        <v>66</v>
      </c>
      <c r="E6" s="107" t="s">
        <v>172</v>
      </c>
      <c r="F6" s="107" t="s">
        <v>173</v>
      </c>
      <c r="G6" s="148" t="s">
        <v>176</v>
      </c>
      <c r="H6" s="148" t="s">
        <v>171</v>
      </c>
      <c r="I6" s="148" t="s">
        <v>67</v>
      </c>
      <c r="J6" s="148" t="s">
        <v>68</v>
      </c>
      <c r="K6" s="88" t="s">
        <v>69</v>
      </c>
      <c r="L6" s="89" t="s">
        <v>70</v>
      </c>
      <c r="M6" s="87" t="s">
        <v>174</v>
      </c>
      <c r="N6" s="88" t="s">
        <v>71</v>
      </c>
      <c r="O6" s="88" t="s">
        <v>72</v>
      </c>
      <c r="P6" s="88" t="s">
        <v>73</v>
      </c>
      <c r="Q6" s="88" t="s">
        <v>74</v>
      </c>
      <c r="R6" s="88" t="s">
        <v>75</v>
      </c>
      <c r="S6" s="166" t="s">
        <v>175</v>
      </c>
      <c r="T6" s="730"/>
      <c r="U6" s="730"/>
      <c r="V6" s="728"/>
    </row>
    <row r="7" spans="1:22">
      <c r="A7" s="90">
        <v>1</v>
      </c>
      <c r="B7" s="1" t="s">
        <v>51</v>
      </c>
      <c r="C7" s="672"/>
      <c r="D7" s="541"/>
      <c r="E7" s="541"/>
      <c r="F7" s="541"/>
      <c r="G7" s="541"/>
      <c r="H7" s="541"/>
      <c r="I7" s="541"/>
      <c r="J7" s="541"/>
      <c r="K7" s="541"/>
      <c r="L7" s="540"/>
      <c r="M7" s="672"/>
      <c r="N7" s="541"/>
      <c r="O7" s="541"/>
      <c r="P7" s="541"/>
      <c r="Q7" s="541"/>
      <c r="R7" s="541"/>
      <c r="S7" s="540"/>
      <c r="T7" s="539"/>
      <c r="U7" s="539"/>
      <c r="V7" s="673">
        <f>SUM(C7:S7)</f>
        <v>0</v>
      </c>
    </row>
    <row r="8" spans="1:22">
      <c r="A8" s="90">
        <v>2</v>
      </c>
      <c r="B8" s="1" t="s">
        <v>52</v>
      </c>
      <c r="C8" s="672"/>
      <c r="D8" s="541"/>
      <c r="E8" s="541"/>
      <c r="F8" s="541"/>
      <c r="G8" s="541"/>
      <c r="H8" s="541"/>
      <c r="I8" s="541"/>
      <c r="J8" s="541"/>
      <c r="K8" s="541"/>
      <c r="L8" s="540"/>
      <c r="M8" s="672"/>
      <c r="N8" s="541"/>
      <c r="O8" s="541"/>
      <c r="P8" s="541"/>
      <c r="Q8" s="541"/>
      <c r="R8" s="541"/>
      <c r="S8" s="540"/>
      <c r="T8" s="539"/>
      <c r="U8" s="539"/>
      <c r="V8" s="673">
        <f t="shared" ref="V8:V20" si="0">SUM(C8:S8)</f>
        <v>0</v>
      </c>
    </row>
    <row r="9" spans="1:22">
      <c r="A9" s="90">
        <v>3</v>
      </c>
      <c r="B9" s="1" t="s">
        <v>165</v>
      </c>
      <c r="C9" s="672"/>
      <c r="D9" s="541"/>
      <c r="E9" s="541"/>
      <c r="F9" s="541"/>
      <c r="G9" s="541"/>
      <c r="H9" s="541"/>
      <c r="I9" s="541"/>
      <c r="J9" s="541"/>
      <c r="K9" s="541"/>
      <c r="L9" s="540"/>
      <c r="M9" s="672"/>
      <c r="N9" s="541"/>
      <c r="O9" s="541"/>
      <c r="P9" s="541"/>
      <c r="Q9" s="541"/>
      <c r="R9" s="541"/>
      <c r="S9" s="540"/>
      <c r="T9" s="539"/>
      <c r="U9" s="539"/>
      <c r="V9" s="673">
        <f t="shared" si="0"/>
        <v>0</v>
      </c>
    </row>
    <row r="10" spans="1:22">
      <c r="A10" s="90">
        <v>4</v>
      </c>
      <c r="B10" s="1" t="s">
        <v>53</v>
      </c>
      <c r="C10" s="672"/>
      <c r="D10" s="541"/>
      <c r="E10" s="541"/>
      <c r="F10" s="541"/>
      <c r="G10" s="541"/>
      <c r="H10" s="541"/>
      <c r="I10" s="541"/>
      <c r="J10" s="541"/>
      <c r="K10" s="541"/>
      <c r="L10" s="540"/>
      <c r="M10" s="672"/>
      <c r="N10" s="541"/>
      <c r="O10" s="541"/>
      <c r="P10" s="541"/>
      <c r="Q10" s="541"/>
      <c r="R10" s="541"/>
      <c r="S10" s="540"/>
      <c r="T10" s="539"/>
      <c r="U10" s="539"/>
      <c r="V10" s="673">
        <f t="shared" si="0"/>
        <v>0</v>
      </c>
    </row>
    <row r="11" spans="1:22">
      <c r="A11" s="90">
        <v>5</v>
      </c>
      <c r="B11" s="1" t="s">
        <v>54</v>
      </c>
      <c r="C11" s="672"/>
      <c r="D11" s="541"/>
      <c r="E11" s="541"/>
      <c r="F11" s="541"/>
      <c r="G11" s="541"/>
      <c r="H11" s="541"/>
      <c r="I11" s="541"/>
      <c r="J11" s="541"/>
      <c r="K11" s="541"/>
      <c r="L11" s="540"/>
      <c r="M11" s="672"/>
      <c r="N11" s="541"/>
      <c r="O11" s="541"/>
      <c r="P11" s="541"/>
      <c r="Q11" s="541"/>
      <c r="R11" s="541"/>
      <c r="S11" s="540"/>
      <c r="T11" s="539"/>
      <c r="U11" s="539"/>
      <c r="V11" s="673">
        <f t="shared" si="0"/>
        <v>0</v>
      </c>
    </row>
    <row r="12" spans="1:22">
      <c r="A12" s="90">
        <v>6</v>
      </c>
      <c r="B12" s="1" t="s">
        <v>55</v>
      </c>
      <c r="C12" s="672"/>
      <c r="D12" s="541"/>
      <c r="E12" s="541"/>
      <c r="F12" s="541"/>
      <c r="G12" s="541"/>
      <c r="H12" s="541"/>
      <c r="I12" s="541"/>
      <c r="J12" s="541"/>
      <c r="K12" s="541"/>
      <c r="L12" s="540"/>
      <c r="M12" s="672"/>
      <c r="N12" s="541"/>
      <c r="O12" s="541"/>
      <c r="P12" s="541"/>
      <c r="Q12" s="541"/>
      <c r="R12" s="541"/>
      <c r="S12" s="540"/>
      <c r="T12" s="539"/>
      <c r="U12" s="539"/>
      <c r="V12" s="673">
        <f t="shared" si="0"/>
        <v>0</v>
      </c>
    </row>
    <row r="13" spans="1:22">
      <c r="A13" s="90">
        <v>7</v>
      </c>
      <c r="B13" s="1" t="s">
        <v>56</v>
      </c>
      <c r="C13" s="672"/>
      <c r="D13" s="541">
        <v>48847990.094723888</v>
      </c>
      <c r="E13" s="541"/>
      <c r="F13" s="541"/>
      <c r="G13" s="541"/>
      <c r="H13" s="541"/>
      <c r="I13" s="541"/>
      <c r="J13" s="541"/>
      <c r="K13" s="541"/>
      <c r="L13" s="540"/>
      <c r="M13" s="672"/>
      <c r="N13" s="541"/>
      <c r="O13" s="541"/>
      <c r="P13" s="541"/>
      <c r="Q13" s="541"/>
      <c r="R13" s="541"/>
      <c r="S13" s="540"/>
      <c r="T13" s="539">
        <v>43032100.534698777</v>
      </c>
      <c r="U13" s="539">
        <v>5815889.5600251099</v>
      </c>
      <c r="V13" s="673">
        <f t="shared" si="0"/>
        <v>48847990.094723888</v>
      </c>
    </row>
    <row r="14" spans="1:22">
      <c r="A14" s="90">
        <v>8</v>
      </c>
      <c r="B14" s="1" t="s">
        <v>57</v>
      </c>
      <c r="C14" s="672"/>
      <c r="D14" s="541"/>
      <c r="E14" s="541"/>
      <c r="F14" s="541"/>
      <c r="G14" s="541"/>
      <c r="H14" s="541"/>
      <c r="I14" s="541"/>
      <c r="J14" s="541"/>
      <c r="K14" s="541"/>
      <c r="L14" s="540"/>
      <c r="M14" s="672"/>
      <c r="N14" s="541"/>
      <c r="O14" s="541"/>
      <c r="P14" s="541"/>
      <c r="Q14" s="541"/>
      <c r="R14" s="541"/>
      <c r="S14" s="540"/>
      <c r="T14" s="539"/>
      <c r="U14" s="539"/>
      <c r="V14" s="673">
        <f t="shared" si="0"/>
        <v>0</v>
      </c>
    </row>
    <row r="15" spans="1:22">
      <c r="A15" s="90">
        <v>9</v>
      </c>
      <c r="B15" s="1" t="s">
        <v>58</v>
      </c>
      <c r="C15" s="672"/>
      <c r="D15" s="541"/>
      <c r="E15" s="541"/>
      <c r="F15" s="541"/>
      <c r="G15" s="541"/>
      <c r="H15" s="541"/>
      <c r="I15" s="541"/>
      <c r="J15" s="541"/>
      <c r="K15" s="541"/>
      <c r="L15" s="540"/>
      <c r="M15" s="672"/>
      <c r="N15" s="541"/>
      <c r="O15" s="541"/>
      <c r="P15" s="541"/>
      <c r="Q15" s="541"/>
      <c r="R15" s="541"/>
      <c r="S15" s="540"/>
      <c r="T15" s="539"/>
      <c r="U15" s="539"/>
      <c r="V15" s="673">
        <f t="shared" si="0"/>
        <v>0</v>
      </c>
    </row>
    <row r="16" spans="1:22">
      <c r="A16" s="90">
        <v>10</v>
      </c>
      <c r="B16" s="1" t="s">
        <v>59</v>
      </c>
      <c r="C16" s="672"/>
      <c r="D16" s="541">
        <v>574112.58704678866</v>
      </c>
      <c r="E16" s="541"/>
      <c r="F16" s="541"/>
      <c r="G16" s="541"/>
      <c r="H16" s="541"/>
      <c r="I16" s="541"/>
      <c r="J16" s="541"/>
      <c r="K16" s="541"/>
      <c r="L16" s="540"/>
      <c r="M16" s="672"/>
      <c r="N16" s="541"/>
      <c r="O16" s="541"/>
      <c r="P16" s="541"/>
      <c r="Q16" s="541"/>
      <c r="R16" s="541"/>
      <c r="S16" s="540"/>
      <c r="T16" s="539">
        <v>574112.58704678866</v>
      </c>
      <c r="U16" s="539">
        <v>0</v>
      </c>
      <c r="V16" s="673">
        <f t="shared" si="0"/>
        <v>574112.58704678866</v>
      </c>
    </row>
    <row r="17" spans="1:22">
      <c r="A17" s="90">
        <v>11</v>
      </c>
      <c r="B17" s="1" t="s">
        <v>60</v>
      </c>
      <c r="C17" s="672"/>
      <c r="D17" s="541"/>
      <c r="E17" s="541"/>
      <c r="F17" s="541"/>
      <c r="G17" s="541"/>
      <c r="H17" s="541"/>
      <c r="I17" s="541"/>
      <c r="J17" s="541"/>
      <c r="K17" s="541"/>
      <c r="L17" s="540"/>
      <c r="M17" s="672"/>
      <c r="N17" s="541"/>
      <c r="O17" s="541"/>
      <c r="P17" s="541"/>
      <c r="Q17" s="541"/>
      <c r="R17" s="541"/>
      <c r="S17" s="540"/>
      <c r="T17" s="539"/>
      <c r="U17" s="539"/>
      <c r="V17" s="673">
        <f t="shared" si="0"/>
        <v>0</v>
      </c>
    </row>
    <row r="18" spans="1:22">
      <c r="A18" s="90">
        <v>12</v>
      </c>
      <c r="B18" s="1" t="s">
        <v>61</v>
      </c>
      <c r="C18" s="672"/>
      <c r="D18" s="541"/>
      <c r="E18" s="541"/>
      <c r="F18" s="541"/>
      <c r="G18" s="541"/>
      <c r="H18" s="541"/>
      <c r="I18" s="541"/>
      <c r="J18" s="541"/>
      <c r="K18" s="541"/>
      <c r="L18" s="540"/>
      <c r="M18" s="672"/>
      <c r="N18" s="541"/>
      <c r="O18" s="541"/>
      <c r="P18" s="541"/>
      <c r="Q18" s="541"/>
      <c r="R18" s="541"/>
      <c r="S18" s="540"/>
      <c r="T18" s="539"/>
      <c r="U18" s="539"/>
      <c r="V18" s="673">
        <f t="shared" si="0"/>
        <v>0</v>
      </c>
    </row>
    <row r="19" spans="1:22">
      <c r="A19" s="90">
        <v>13</v>
      </c>
      <c r="B19" s="1" t="s">
        <v>62</v>
      </c>
      <c r="C19" s="672"/>
      <c r="D19" s="541"/>
      <c r="E19" s="541"/>
      <c r="F19" s="541"/>
      <c r="G19" s="541"/>
      <c r="H19" s="541"/>
      <c r="I19" s="541"/>
      <c r="J19" s="541"/>
      <c r="K19" s="541"/>
      <c r="L19" s="540"/>
      <c r="M19" s="672"/>
      <c r="N19" s="541"/>
      <c r="O19" s="541"/>
      <c r="P19" s="541"/>
      <c r="Q19" s="541"/>
      <c r="R19" s="541"/>
      <c r="S19" s="540"/>
      <c r="T19" s="539"/>
      <c r="U19" s="539"/>
      <c r="V19" s="673">
        <f t="shared" si="0"/>
        <v>0</v>
      </c>
    </row>
    <row r="20" spans="1:22">
      <c r="A20" s="90">
        <v>14</v>
      </c>
      <c r="B20" s="1" t="s">
        <v>63</v>
      </c>
      <c r="C20" s="672"/>
      <c r="D20" s="541">
        <v>652996.49369993084</v>
      </c>
      <c r="E20" s="541"/>
      <c r="F20" s="541"/>
      <c r="G20" s="541"/>
      <c r="H20" s="541"/>
      <c r="I20" s="541"/>
      <c r="J20" s="541"/>
      <c r="K20" s="541"/>
      <c r="L20" s="540"/>
      <c r="M20" s="672"/>
      <c r="N20" s="541"/>
      <c r="O20" s="541"/>
      <c r="P20" s="541"/>
      <c r="Q20" s="541"/>
      <c r="R20" s="541"/>
      <c r="S20" s="540"/>
      <c r="T20" s="539">
        <v>377323.32576563087</v>
      </c>
      <c r="U20" s="539">
        <v>275673.16793430003</v>
      </c>
      <c r="V20" s="673">
        <f t="shared" si="0"/>
        <v>652996.49369993084</v>
      </c>
    </row>
    <row r="21" spans="1:22" ht="13.5" thickBot="1">
      <c r="A21" s="81"/>
      <c r="B21" s="91" t="s">
        <v>64</v>
      </c>
      <c r="C21" s="674">
        <f>SUM(C7:C20)</f>
        <v>0</v>
      </c>
      <c r="D21" s="635">
        <f t="shared" ref="D21:V21" si="1">SUM(D7:D20)</f>
        <v>50075099.175470605</v>
      </c>
      <c r="E21" s="635">
        <f t="shared" si="1"/>
        <v>0</v>
      </c>
      <c r="F21" s="635">
        <f t="shared" si="1"/>
        <v>0</v>
      </c>
      <c r="G21" s="635">
        <f t="shared" si="1"/>
        <v>0</v>
      </c>
      <c r="H21" s="635">
        <f t="shared" si="1"/>
        <v>0</v>
      </c>
      <c r="I21" s="635">
        <f t="shared" si="1"/>
        <v>0</v>
      </c>
      <c r="J21" s="635">
        <f t="shared" si="1"/>
        <v>0</v>
      </c>
      <c r="K21" s="635">
        <f t="shared" si="1"/>
        <v>0</v>
      </c>
      <c r="L21" s="675">
        <f t="shared" si="1"/>
        <v>0</v>
      </c>
      <c r="M21" s="674">
        <f t="shared" si="1"/>
        <v>0</v>
      </c>
      <c r="N21" s="635">
        <f t="shared" si="1"/>
        <v>0</v>
      </c>
      <c r="O21" s="635">
        <f t="shared" si="1"/>
        <v>0</v>
      </c>
      <c r="P21" s="635">
        <f t="shared" si="1"/>
        <v>0</v>
      </c>
      <c r="Q21" s="635">
        <f t="shared" si="1"/>
        <v>0</v>
      </c>
      <c r="R21" s="635">
        <f t="shared" si="1"/>
        <v>0</v>
      </c>
      <c r="S21" s="675">
        <f>SUM(S7:S20)</f>
        <v>0</v>
      </c>
      <c r="T21" s="675">
        <f>SUM(T7:T20)</f>
        <v>43983536.447511196</v>
      </c>
      <c r="U21" s="675">
        <f t="shared" ref="U21" si="2">SUM(U7:U20)</f>
        <v>6091562.7279594103</v>
      </c>
      <c r="V21" s="676">
        <f t="shared" si="1"/>
        <v>50075099.175470605</v>
      </c>
    </row>
    <row r="23" spans="1:22">
      <c r="C23" s="671"/>
      <c r="D23" s="671"/>
      <c r="E23" s="671"/>
      <c r="F23" s="671"/>
      <c r="G23" s="671"/>
      <c r="H23" s="671"/>
      <c r="I23" s="671"/>
      <c r="J23" s="671"/>
      <c r="K23" s="671"/>
      <c r="L23" s="671"/>
      <c r="M23" s="671"/>
      <c r="N23" s="671"/>
      <c r="O23" s="671"/>
      <c r="P23" s="671"/>
      <c r="Q23" s="671"/>
      <c r="R23" s="671"/>
      <c r="S23" s="671"/>
      <c r="T23" s="671"/>
      <c r="U23" s="671"/>
      <c r="V23" s="671"/>
    </row>
    <row r="24" spans="1:22">
      <c r="C24" s="671"/>
      <c r="D24" s="671"/>
      <c r="E24" s="671"/>
      <c r="F24" s="671"/>
      <c r="G24" s="671"/>
      <c r="H24" s="671"/>
      <c r="I24" s="671"/>
      <c r="J24" s="671"/>
      <c r="K24" s="671"/>
      <c r="L24" s="671"/>
      <c r="M24" s="671"/>
      <c r="N24" s="671"/>
      <c r="O24" s="671"/>
      <c r="P24" s="671"/>
      <c r="Q24" s="671"/>
      <c r="R24" s="671"/>
      <c r="S24" s="671"/>
      <c r="T24" s="671"/>
      <c r="U24" s="671"/>
      <c r="V24" s="671"/>
    </row>
    <row r="25" spans="1:22">
      <c r="A25" s="47"/>
      <c r="B25" s="47"/>
      <c r="C25" s="671"/>
      <c r="D25" s="671"/>
      <c r="E25" s="671"/>
      <c r="F25" s="671"/>
      <c r="G25" s="671"/>
      <c r="H25" s="671"/>
      <c r="I25" s="671"/>
      <c r="J25" s="671"/>
      <c r="K25" s="671"/>
      <c r="L25" s="671"/>
      <c r="M25" s="671"/>
      <c r="N25" s="671"/>
      <c r="O25" s="671"/>
      <c r="P25" s="671"/>
      <c r="Q25" s="671"/>
      <c r="R25" s="671"/>
      <c r="S25" s="671"/>
      <c r="T25" s="671"/>
      <c r="U25" s="671"/>
      <c r="V25" s="671"/>
    </row>
    <row r="26" spans="1:22">
      <c r="A26" s="47"/>
      <c r="B26" s="27"/>
      <c r="C26" s="671"/>
      <c r="D26" s="671"/>
      <c r="E26" s="671"/>
      <c r="F26" s="671"/>
      <c r="G26" s="671"/>
      <c r="H26" s="671"/>
      <c r="I26" s="671"/>
      <c r="J26" s="671"/>
      <c r="K26" s="671"/>
      <c r="L26" s="671"/>
      <c r="M26" s="671"/>
      <c r="N26" s="671"/>
      <c r="O26" s="671"/>
      <c r="P26" s="671"/>
      <c r="Q26" s="671"/>
      <c r="R26" s="671"/>
      <c r="S26" s="671"/>
      <c r="T26" s="671"/>
      <c r="U26" s="671"/>
      <c r="V26" s="671"/>
    </row>
    <row r="27" spans="1:22">
      <c r="A27" s="47"/>
      <c r="B27" s="47"/>
      <c r="C27" s="671"/>
      <c r="D27" s="671"/>
      <c r="E27" s="671"/>
      <c r="F27" s="671"/>
      <c r="G27" s="671"/>
      <c r="H27" s="671"/>
      <c r="I27" s="671"/>
      <c r="J27" s="671"/>
      <c r="K27" s="671"/>
      <c r="L27" s="671"/>
      <c r="M27" s="671"/>
      <c r="N27" s="671"/>
      <c r="O27" s="671"/>
      <c r="P27" s="671"/>
      <c r="Q27" s="671"/>
      <c r="R27" s="671"/>
      <c r="S27" s="671"/>
      <c r="T27" s="671"/>
      <c r="U27" s="671"/>
      <c r="V27" s="671"/>
    </row>
    <row r="28" spans="1:22">
      <c r="A28" s="47"/>
      <c r="B28" s="27"/>
      <c r="C28" s="671"/>
      <c r="D28" s="671"/>
      <c r="E28" s="671"/>
      <c r="F28" s="671"/>
      <c r="G28" s="671"/>
      <c r="H28" s="671"/>
      <c r="I28" s="671"/>
      <c r="J28" s="671"/>
      <c r="K28" s="671"/>
      <c r="L28" s="671"/>
      <c r="M28" s="671"/>
      <c r="N28" s="671"/>
      <c r="O28" s="671"/>
      <c r="P28" s="671"/>
      <c r="Q28" s="671"/>
      <c r="R28" s="671"/>
      <c r="S28" s="671"/>
      <c r="T28" s="671"/>
      <c r="U28" s="671"/>
      <c r="V28" s="671"/>
    </row>
    <row r="29" spans="1:22">
      <c r="C29" s="671"/>
      <c r="D29" s="671"/>
      <c r="E29" s="671"/>
      <c r="F29" s="671"/>
      <c r="G29" s="671"/>
      <c r="H29" s="671"/>
      <c r="I29" s="671"/>
      <c r="J29" s="671"/>
      <c r="K29" s="671"/>
      <c r="L29" s="671"/>
      <c r="M29" s="671"/>
      <c r="N29" s="671"/>
      <c r="O29" s="671"/>
      <c r="P29" s="671"/>
      <c r="Q29" s="671"/>
      <c r="R29" s="671"/>
      <c r="S29" s="671"/>
      <c r="T29" s="671"/>
      <c r="U29" s="671"/>
      <c r="V29" s="671"/>
    </row>
    <row r="30" spans="1:22">
      <c r="C30" s="671"/>
      <c r="D30" s="671"/>
      <c r="E30" s="671"/>
      <c r="F30" s="671"/>
      <c r="G30" s="671"/>
      <c r="H30" s="671"/>
      <c r="I30" s="671"/>
      <c r="J30" s="671"/>
      <c r="K30" s="671"/>
      <c r="L30" s="671"/>
      <c r="M30" s="671"/>
      <c r="N30" s="671"/>
      <c r="O30" s="671"/>
      <c r="P30" s="671"/>
      <c r="Q30" s="671"/>
      <c r="R30" s="671"/>
      <c r="S30" s="671"/>
      <c r="T30" s="671"/>
      <c r="U30" s="671"/>
      <c r="V30" s="671"/>
    </row>
    <row r="31" spans="1:22">
      <c r="C31" s="671"/>
      <c r="D31" s="671"/>
      <c r="E31" s="671"/>
      <c r="F31" s="671"/>
      <c r="G31" s="671"/>
      <c r="H31" s="671"/>
      <c r="I31" s="671"/>
      <c r="J31" s="671"/>
      <c r="K31" s="671"/>
      <c r="L31" s="671"/>
      <c r="M31" s="671"/>
      <c r="N31" s="671"/>
      <c r="O31" s="671"/>
      <c r="P31" s="671"/>
      <c r="Q31" s="671"/>
      <c r="R31" s="671"/>
      <c r="S31" s="671"/>
      <c r="T31" s="671"/>
      <c r="U31" s="671"/>
      <c r="V31" s="671"/>
    </row>
    <row r="32" spans="1:22">
      <c r="C32" s="671"/>
      <c r="D32" s="671"/>
      <c r="E32" s="671"/>
      <c r="F32" s="671"/>
      <c r="G32" s="671"/>
      <c r="H32" s="671"/>
      <c r="I32" s="671"/>
      <c r="J32" s="671"/>
      <c r="K32" s="671"/>
      <c r="L32" s="671"/>
      <c r="M32" s="671"/>
      <c r="N32" s="671"/>
      <c r="O32" s="671"/>
      <c r="P32" s="671"/>
      <c r="Q32" s="671"/>
      <c r="R32" s="671"/>
      <c r="S32" s="671"/>
      <c r="T32" s="671"/>
      <c r="U32" s="671"/>
      <c r="V32" s="671"/>
    </row>
    <row r="33" spans="3:22">
      <c r="C33" s="671"/>
      <c r="D33" s="671"/>
      <c r="E33" s="671"/>
      <c r="F33" s="671"/>
      <c r="G33" s="671"/>
      <c r="H33" s="671"/>
      <c r="I33" s="671"/>
      <c r="J33" s="671"/>
      <c r="K33" s="671"/>
      <c r="L33" s="671"/>
      <c r="M33" s="671"/>
      <c r="N33" s="671"/>
      <c r="O33" s="671"/>
      <c r="P33" s="671"/>
      <c r="Q33" s="671"/>
      <c r="R33" s="671"/>
      <c r="S33" s="671"/>
      <c r="T33" s="671"/>
      <c r="U33" s="671"/>
      <c r="V33" s="671"/>
    </row>
    <row r="34" spans="3:22">
      <c r="C34" s="671"/>
      <c r="D34" s="671"/>
      <c r="E34" s="671"/>
      <c r="F34" s="671"/>
      <c r="G34" s="671"/>
      <c r="H34" s="671"/>
      <c r="I34" s="671"/>
      <c r="J34" s="671"/>
      <c r="K34" s="671"/>
      <c r="L34" s="671"/>
      <c r="M34" s="671"/>
      <c r="N34" s="671"/>
      <c r="O34" s="671"/>
      <c r="P34" s="671"/>
      <c r="Q34" s="671"/>
      <c r="R34" s="671"/>
      <c r="S34" s="671"/>
      <c r="T34" s="671"/>
      <c r="U34" s="671"/>
      <c r="V34" s="671"/>
    </row>
    <row r="35" spans="3:22">
      <c r="C35" s="671"/>
      <c r="D35" s="671"/>
      <c r="E35" s="671"/>
      <c r="F35" s="671"/>
      <c r="G35" s="671"/>
      <c r="H35" s="671"/>
      <c r="I35" s="671"/>
      <c r="J35" s="671"/>
      <c r="K35" s="671"/>
      <c r="L35" s="671"/>
      <c r="M35" s="671"/>
      <c r="N35" s="671"/>
      <c r="O35" s="671"/>
      <c r="P35" s="671"/>
      <c r="Q35" s="671"/>
      <c r="R35" s="671"/>
      <c r="S35" s="671"/>
      <c r="T35" s="671"/>
      <c r="U35" s="671"/>
      <c r="V35" s="671"/>
    </row>
    <row r="36" spans="3:22">
      <c r="C36" s="671"/>
      <c r="D36" s="671"/>
      <c r="E36" s="671"/>
      <c r="F36" s="671"/>
      <c r="G36" s="671"/>
      <c r="H36" s="671"/>
      <c r="I36" s="671"/>
      <c r="J36" s="671"/>
      <c r="K36" s="671"/>
      <c r="L36" s="671"/>
      <c r="M36" s="671"/>
      <c r="N36" s="671"/>
      <c r="O36" s="671"/>
      <c r="P36" s="671"/>
      <c r="Q36" s="671"/>
      <c r="R36" s="671"/>
      <c r="S36" s="671"/>
      <c r="T36" s="671"/>
      <c r="U36" s="671"/>
      <c r="V36" s="671"/>
    </row>
    <row r="37" spans="3:22">
      <c r="C37" s="671"/>
      <c r="D37" s="671"/>
      <c r="E37" s="671"/>
      <c r="F37" s="671"/>
      <c r="G37" s="671"/>
      <c r="H37" s="671"/>
      <c r="I37" s="671"/>
      <c r="J37" s="671"/>
      <c r="K37" s="671"/>
      <c r="L37" s="671"/>
      <c r="M37" s="671"/>
      <c r="N37" s="671"/>
      <c r="O37" s="671"/>
      <c r="P37" s="671"/>
      <c r="Q37" s="671"/>
      <c r="R37" s="671"/>
      <c r="S37" s="671"/>
      <c r="T37" s="671"/>
      <c r="U37" s="671"/>
      <c r="V37" s="671"/>
    </row>
    <row r="38" spans="3:22">
      <c r="C38" s="671"/>
    </row>
    <row r="39" spans="3:22">
      <c r="C39" s="67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8"/>
  <sheetViews>
    <sheetView zoomScaleNormal="100" workbookViewId="0">
      <pane xSplit="1" ySplit="7" topLeftCell="B8"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101.85546875" style="4" customWidth="1"/>
    <col min="3" max="3" width="13.7109375" style="153" customWidth="1"/>
    <col min="4" max="4" width="14.85546875" style="153" bestFit="1" customWidth="1"/>
    <col min="5" max="5" width="17.7109375" style="153" customWidth="1"/>
    <col min="6" max="6" width="15.85546875" style="153" customWidth="1"/>
    <col min="7" max="7" width="17.42578125" style="153" customWidth="1"/>
    <col min="8" max="8" width="15.28515625" style="153" customWidth="1"/>
    <col min="9" max="16384" width="9.140625" style="19"/>
  </cols>
  <sheetData>
    <row r="1" spans="1:9">
      <c r="A1" s="2" t="s">
        <v>30</v>
      </c>
      <c r="B1" s="4" t="str">
        <f>'Info '!C2</f>
        <v>JSC Cartu Bank</v>
      </c>
      <c r="C1" s="3"/>
    </row>
    <row r="2" spans="1:9">
      <c r="A2" s="2" t="s">
        <v>31</v>
      </c>
      <c r="B2" s="663">
        <f>'1. key ratios '!B2</f>
        <v>45107</v>
      </c>
      <c r="C2" s="296"/>
    </row>
    <row r="4" spans="1:9" ht="13.5" thickBot="1">
      <c r="A4" s="2" t="s">
        <v>150</v>
      </c>
      <c r="B4" s="83" t="s">
        <v>252</v>
      </c>
    </row>
    <row r="5" spans="1:9">
      <c r="A5" s="84"/>
      <c r="B5" s="92"/>
      <c r="C5" s="174" t="s">
        <v>0</v>
      </c>
      <c r="D5" s="174" t="s">
        <v>1</v>
      </c>
      <c r="E5" s="174" t="s">
        <v>2</v>
      </c>
      <c r="F5" s="174" t="s">
        <v>3</v>
      </c>
      <c r="G5" s="175" t="s">
        <v>4</v>
      </c>
      <c r="H5" s="176" t="s">
        <v>5</v>
      </c>
      <c r="I5" s="93"/>
    </row>
    <row r="6" spans="1:9" s="93" customFormat="1" ht="12.75" customHeight="1">
      <c r="A6" s="94"/>
      <c r="B6" s="733" t="s">
        <v>149</v>
      </c>
      <c r="C6" s="719" t="s">
        <v>245</v>
      </c>
      <c r="D6" s="735" t="s">
        <v>244</v>
      </c>
      <c r="E6" s="736"/>
      <c r="F6" s="719" t="s">
        <v>249</v>
      </c>
      <c r="G6" s="719" t="s">
        <v>250</v>
      </c>
      <c r="H6" s="731" t="s">
        <v>248</v>
      </c>
    </row>
    <row r="7" spans="1:9" ht="38.25">
      <c r="A7" s="96"/>
      <c r="B7" s="734"/>
      <c r="C7" s="720"/>
      <c r="D7" s="177" t="s">
        <v>247</v>
      </c>
      <c r="E7" s="177" t="s">
        <v>246</v>
      </c>
      <c r="F7" s="720"/>
      <c r="G7" s="720"/>
      <c r="H7" s="732"/>
      <c r="I7" s="93"/>
    </row>
    <row r="8" spans="1:9">
      <c r="A8" s="94">
        <v>1</v>
      </c>
      <c r="B8" s="1" t="s">
        <v>51</v>
      </c>
      <c r="C8" s="538">
        <v>274897134.86748391</v>
      </c>
      <c r="D8" s="538"/>
      <c r="E8" s="538"/>
      <c r="F8" s="538">
        <v>240529266.42573732</v>
      </c>
      <c r="G8" s="537">
        <v>240529266.42573732</v>
      </c>
      <c r="H8" s="179">
        <f>IFERROR(G8/(C8+E8),0)</f>
        <v>0.874979168268473</v>
      </c>
    </row>
    <row r="9" spans="1:9" ht="15" customHeight="1">
      <c r="A9" s="94">
        <v>2</v>
      </c>
      <c r="B9" s="1" t="s">
        <v>52</v>
      </c>
      <c r="C9" s="538">
        <v>0</v>
      </c>
      <c r="D9" s="538"/>
      <c r="E9" s="538"/>
      <c r="F9" s="538">
        <v>0</v>
      </c>
      <c r="G9" s="537">
        <v>0</v>
      </c>
      <c r="H9" s="179">
        <f t="shared" ref="H9:H21" si="0">IFERROR(G9/(C9+E9),0)</f>
        <v>0</v>
      </c>
    </row>
    <row r="10" spans="1:9">
      <c r="A10" s="94">
        <v>3</v>
      </c>
      <c r="B10" s="1" t="s">
        <v>165</v>
      </c>
      <c r="C10" s="538">
        <v>0</v>
      </c>
      <c r="D10" s="538"/>
      <c r="E10" s="538"/>
      <c r="F10" s="538">
        <v>0</v>
      </c>
      <c r="G10" s="537">
        <v>0</v>
      </c>
      <c r="H10" s="179">
        <f t="shared" si="0"/>
        <v>0</v>
      </c>
    </row>
    <row r="11" spans="1:9">
      <c r="A11" s="94">
        <v>4</v>
      </c>
      <c r="B11" s="1" t="s">
        <v>53</v>
      </c>
      <c r="C11" s="538">
        <v>0</v>
      </c>
      <c r="D11" s="538"/>
      <c r="E11" s="538"/>
      <c r="F11" s="538">
        <v>0</v>
      </c>
      <c r="G11" s="537">
        <v>0</v>
      </c>
      <c r="H11" s="179">
        <f t="shared" si="0"/>
        <v>0</v>
      </c>
    </row>
    <row r="12" spans="1:9">
      <c r="A12" s="94">
        <v>5</v>
      </c>
      <c r="B12" s="1" t="s">
        <v>54</v>
      </c>
      <c r="C12" s="538">
        <v>0</v>
      </c>
      <c r="D12" s="538"/>
      <c r="E12" s="538"/>
      <c r="F12" s="538">
        <v>0</v>
      </c>
      <c r="G12" s="537">
        <v>0</v>
      </c>
      <c r="H12" s="179">
        <f t="shared" si="0"/>
        <v>0</v>
      </c>
    </row>
    <row r="13" spans="1:9">
      <c r="A13" s="94">
        <v>6</v>
      </c>
      <c r="B13" s="1" t="s">
        <v>55</v>
      </c>
      <c r="C13" s="538">
        <v>383027680.58020836</v>
      </c>
      <c r="D13" s="538"/>
      <c r="E13" s="538"/>
      <c r="F13" s="538">
        <v>112953098.08920203</v>
      </c>
      <c r="G13" s="537">
        <v>112953098.08920203</v>
      </c>
      <c r="H13" s="179">
        <f t="shared" si="0"/>
        <v>0.2948953922027287</v>
      </c>
    </row>
    <row r="14" spans="1:9">
      <c r="A14" s="94">
        <v>7</v>
      </c>
      <c r="B14" s="1" t="s">
        <v>56</v>
      </c>
      <c r="C14" s="538">
        <v>678262131.8408767</v>
      </c>
      <c r="D14" s="538">
        <v>83348800.901271358</v>
      </c>
      <c r="E14" s="538">
        <v>44355966.310433283</v>
      </c>
      <c r="F14" s="538">
        <v>722618098.15130997</v>
      </c>
      <c r="G14" s="537">
        <v>673770108.05658603</v>
      </c>
      <c r="H14" s="179">
        <f t="shared" si="0"/>
        <v>0.93240137464077799</v>
      </c>
    </row>
    <row r="15" spans="1:9">
      <c r="A15" s="94">
        <v>8</v>
      </c>
      <c r="B15" s="1" t="s">
        <v>57</v>
      </c>
      <c r="C15" s="538">
        <v>0</v>
      </c>
      <c r="D15" s="538"/>
      <c r="E15" s="538">
        <v>0</v>
      </c>
      <c r="F15" s="538">
        <v>0</v>
      </c>
      <c r="G15" s="537">
        <v>0</v>
      </c>
      <c r="H15" s="179">
        <f t="shared" si="0"/>
        <v>0</v>
      </c>
    </row>
    <row r="16" spans="1:9">
      <c r="A16" s="94">
        <v>9</v>
      </c>
      <c r="B16" s="1" t="s">
        <v>58</v>
      </c>
      <c r="C16" s="538">
        <v>0</v>
      </c>
      <c r="D16" s="538"/>
      <c r="E16" s="538">
        <v>0</v>
      </c>
      <c r="F16" s="538">
        <v>0</v>
      </c>
      <c r="G16" s="537">
        <v>0</v>
      </c>
      <c r="H16" s="179">
        <f t="shared" si="0"/>
        <v>0</v>
      </c>
    </row>
    <row r="17" spans="1:8">
      <c r="A17" s="94">
        <v>10</v>
      </c>
      <c r="B17" s="1" t="s">
        <v>59</v>
      </c>
      <c r="C17" s="538">
        <v>71427530.062587574</v>
      </c>
      <c r="D17" s="538">
        <v>199364.40879994232</v>
      </c>
      <c r="E17" s="538">
        <v>99682.20439997116</v>
      </c>
      <c r="F17" s="538">
        <v>71527212.266987547</v>
      </c>
      <c r="G17" s="537">
        <v>70953099.67994076</v>
      </c>
      <c r="H17" s="179">
        <f t="shared" si="0"/>
        <v>0.99197350813975782</v>
      </c>
    </row>
    <row r="18" spans="1:8">
      <c r="A18" s="94">
        <v>11</v>
      </c>
      <c r="B18" s="1" t="s">
        <v>60</v>
      </c>
      <c r="C18" s="538">
        <v>0</v>
      </c>
      <c r="D18" s="538"/>
      <c r="E18" s="538">
        <v>0</v>
      </c>
      <c r="F18" s="538">
        <v>0</v>
      </c>
      <c r="G18" s="537">
        <v>0</v>
      </c>
      <c r="H18" s="179">
        <f t="shared" si="0"/>
        <v>0</v>
      </c>
    </row>
    <row r="19" spans="1:8">
      <c r="A19" s="94">
        <v>12</v>
      </c>
      <c r="B19" s="1" t="s">
        <v>61</v>
      </c>
      <c r="C19" s="538">
        <v>0</v>
      </c>
      <c r="D19" s="538"/>
      <c r="E19" s="538">
        <v>0</v>
      </c>
      <c r="F19" s="538">
        <v>0</v>
      </c>
      <c r="G19" s="537">
        <v>0</v>
      </c>
      <c r="H19" s="179">
        <f t="shared" si="0"/>
        <v>0</v>
      </c>
    </row>
    <row r="20" spans="1:8">
      <c r="A20" s="94">
        <v>13</v>
      </c>
      <c r="B20" s="1" t="s">
        <v>144</v>
      </c>
      <c r="C20" s="538">
        <v>0</v>
      </c>
      <c r="D20" s="538"/>
      <c r="E20" s="538">
        <v>0</v>
      </c>
      <c r="F20" s="538">
        <v>0</v>
      </c>
      <c r="G20" s="537">
        <v>0</v>
      </c>
      <c r="H20" s="179">
        <f t="shared" si="0"/>
        <v>0</v>
      </c>
    </row>
    <row r="21" spans="1:8">
      <c r="A21" s="94">
        <v>14</v>
      </c>
      <c r="B21" s="1" t="s">
        <v>63</v>
      </c>
      <c r="C21" s="538">
        <v>201791938.86884594</v>
      </c>
      <c r="D21" s="538">
        <v>2292119.0168659156</v>
      </c>
      <c r="E21" s="538">
        <v>1211502.0084329578</v>
      </c>
      <c r="F21" s="538">
        <v>192072515.23322701</v>
      </c>
      <c r="G21" s="537">
        <v>191419518.73952708</v>
      </c>
      <c r="H21" s="179">
        <f t="shared" si="0"/>
        <v>0.94293731136924608</v>
      </c>
    </row>
    <row r="22" spans="1:8" ht="13.5" thickBot="1">
      <c r="A22" s="97"/>
      <c r="B22" s="98" t="s">
        <v>64</v>
      </c>
      <c r="C22" s="178">
        <f>SUM(C8:C21)</f>
        <v>1609406416.2200024</v>
      </c>
      <c r="D22" s="178">
        <f>SUM(D8:D21)</f>
        <v>85840284.326937214</v>
      </c>
      <c r="E22" s="178">
        <f>SUM(E8:E21)</f>
        <v>45667150.523266211</v>
      </c>
      <c r="F22" s="178">
        <f>SUM(F8:F21)</f>
        <v>1339700190.1664639</v>
      </c>
      <c r="G22" s="178">
        <f>SUM(G8:G21)</f>
        <v>1289625090.990993</v>
      </c>
      <c r="H22" s="180">
        <f>G22/(C22+E22)</f>
        <v>0.77919502607284208</v>
      </c>
    </row>
    <row r="24" spans="1:8">
      <c r="C24" s="639"/>
      <c r="D24" s="639"/>
      <c r="E24" s="639"/>
      <c r="F24" s="639"/>
      <c r="G24" s="639"/>
      <c r="H24" s="639"/>
    </row>
    <row r="25" spans="1:8">
      <c r="C25" s="639"/>
      <c r="D25" s="639"/>
      <c r="E25" s="639"/>
      <c r="F25" s="639"/>
      <c r="G25" s="639"/>
      <c r="H25" s="639"/>
    </row>
    <row r="26" spans="1:8">
      <c r="C26" s="639"/>
      <c r="D26" s="639"/>
      <c r="E26" s="639"/>
      <c r="F26" s="639"/>
      <c r="G26" s="639"/>
      <c r="H26" s="639"/>
    </row>
    <row r="27" spans="1:8">
      <c r="C27" s="639"/>
      <c r="D27" s="639"/>
      <c r="E27" s="639"/>
      <c r="F27" s="639"/>
      <c r="G27" s="639"/>
      <c r="H27" s="639"/>
    </row>
    <row r="28" spans="1:8">
      <c r="C28" s="639"/>
      <c r="D28" s="639"/>
      <c r="E28" s="639"/>
      <c r="F28" s="639"/>
      <c r="G28" s="639"/>
      <c r="H28" s="639"/>
    </row>
    <row r="29" spans="1:8">
      <c r="C29" s="639"/>
      <c r="D29" s="639"/>
      <c r="E29" s="639"/>
      <c r="F29" s="639"/>
      <c r="G29" s="639"/>
      <c r="H29" s="639"/>
    </row>
    <row r="30" spans="1:8">
      <c r="C30" s="639"/>
      <c r="D30" s="639"/>
      <c r="E30" s="639"/>
      <c r="F30" s="639"/>
      <c r="G30" s="639"/>
      <c r="H30" s="639"/>
    </row>
    <row r="31" spans="1:8">
      <c r="C31" s="639"/>
      <c r="D31" s="639"/>
      <c r="E31" s="639"/>
      <c r="F31" s="639"/>
      <c r="G31" s="639"/>
      <c r="H31" s="639"/>
    </row>
    <row r="32" spans="1:8">
      <c r="C32" s="639"/>
      <c r="D32" s="639"/>
      <c r="E32" s="639"/>
      <c r="F32" s="639"/>
      <c r="G32" s="639"/>
      <c r="H32" s="639"/>
    </row>
    <row r="33" spans="3:8">
      <c r="C33" s="639"/>
      <c r="D33" s="639"/>
      <c r="E33" s="639"/>
      <c r="F33" s="639"/>
      <c r="G33" s="639"/>
      <c r="H33" s="639"/>
    </row>
    <row r="34" spans="3:8">
      <c r="C34" s="639"/>
      <c r="D34" s="639"/>
      <c r="E34" s="639"/>
      <c r="F34" s="639"/>
      <c r="G34" s="639"/>
      <c r="H34" s="639"/>
    </row>
    <row r="35" spans="3:8">
      <c r="C35" s="639"/>
      <c r="D35" s="639"/>
      <c r="E35" s="639"/>
      <c r="F35" s="639"/>
      <c r="G35" s="639"/>
      <c r="H35" s="639"/>
    </row>
    <row r="36" spans="3:8">
      <c r="C36" s="639"/>
      <c r="D36" s="639"/>
      <c r="E36" s="639"/>
      <c r="F36" s="639"/>
      <c r="G36" s="639"/>
      <c r="H36" s="639"/>
    </row>
    <row r="37" spans="3:8">
      <c r="C37" s="639"/>
      <c r="D37" s="639"/>
      <c r="E37" s="639"/>
      <c r="F37" s="639"/>
      <c r="G37" s="639"/>
      <c r="H37" s="639"/>
    </row>
    <row r="38" spans="3:8">
      <c r="C38" s="639"/>
      <c r="D38" s="639"/>
      <c r="E38" s="639"/>
      <c r="F38" s="639"/>
      <c r="G38" s="639"/>
      <c r="H38" s="63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Normal="10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53" bestFit="1" customWidth="1"/>
    <col min="2" max="2" width="104.140625" style="153" customWidth="1"/>
    <col min="3" max="3" width="12.7109375" style="153" customWidth="1"/>
    <col min="4" max="5" width="13.5703125" style="153" bestFit="1" customWidth="1"/>
    <col min="6" max="11" width="12.7109375" style="153" customWidth="1"/>
    <col min="12" max="16384" width="9.140625" style="153"/>
  </cols>
  <sheetData>
    <row r="1" spans="1:11">
      <c r="A1" s="153" t="s">
        <v>30</v>
      </c>
      <c r="B1" s="3" t="str">
        <f>'Info '!C2</f>
        <v>JSC Cartu Bank</v>
      </c>
    </row>
    <row r="2" spans="1:11">
      <c r="A2" s="153" t="s">
        <v>31</v>
      </c>
      <c r="B2" s="663">
        <f>'1. key ratios '!B2</f>
        <v>45107</v>
      </c>
    </row>
    <row r="4" spans="1:11" ht="13.5" thickBot="1">
      <c r="A4" s="153" t="s">
        <v>146</v>
      </c>
      <c r="B4" s="215" t="s">
        <v>253</v>
      </c>
    </row>
    <row r="5" spans="1:11" ht="30" customHeight="1">
      <c r="A5" s="737"/>
      <c r="B5" s="738"/>
      <c r="C5" s="739" t="s">
        <v>305</v>
      </c>
      <c r="D5" s="739"/>
      <c r="E5" s="739"/>
      <c r="F5" s="739" t="s">
        <v>306</v>
      </c>
      <c r="G5" s="739"/>
      <c r="H5" s="739"/>
      <c r="I5" s="739" t="s">
        <v>307</v>
      </c>
      <c r="J5" s="739"/>
      <c r="K5" s="740"/>
    </row>
    <row r="6" spans="1:11">
      <c r="A6" s="189"/>
      <c r="B6" s="190"/>
      <c r="C6" s="21" t="s">
        <v>32</v>
      </c>
      <c r="D6" s="21" t="s">
        <v>33</v>
      </c>
      <c r="E6" s="21" t="s">
        <v>34</v>
      </c>
      <c r="F6" s="21" t="s">
        <v>32</v>
      </c>
      <c r="G6" s="21" t="s">
        <v>33</v>
      </c>
      <c r="H6" s="21" t="s">
        <v>34</v>
      </c>
      <c r="I6" s="21" t="s">
        <v>32</v>
      </c>
      <c r="J6" s="21" t="s">
        <v>33</v>
      </c>
      <c r="K6" s="21" t="s">
        <v>34</v>
      </c>
    </row>
    <row r="7" spans="1:11">
      <c r="A7" s="191" t="s">
        <v>256</v>
      </c>
      <c r="B7" s="192"/>
      <c r="C7" s="192"/>
      <c r="D7" s="192"/>
      <c r="E7" s="192"/>
      <c r="F7" s="192"/>
      <c r="G7" s="192"/>
      <c r="H7" s="192"/>
      <c r="I7" s="192"/>
      <c r="J7" s="192"/>
      <c r="K7" s="193"/>
    </row>
    <row r="8" spans="1:11">
      <c r="A8" s="194">
        <v>1</v>
      </c>
      <c r="B8" s="195" t="s">
        <v>254</v>
      </c>
      <c r="C8" s="636"/>
      <c r="D8" s="636"/>
      <c r="E8" s="636"/>
      <c r="F8" s="637">
        <v>74502470.412196904</v>
      </c>
      <c r="G8" s="637">
        <v>528730638.74989611</v>
      </c>
      <c r="H8" s="637">
        <v>603233109.1620934</v>
      </c>
      <c r="I8" s="637">
        <v>54987653.305318005</v>
      </c>
      <c r="J8" s="637">
        <v>232585519.70845571</v>
      </c>
      <c r="K8" s="638">
        <v>287573173.0137738</v>
      </c>
    </row>
    <row r="9" spans="1:11">
      <c r="A9" s="191" t="s">
        <v>257</v>
      </c>
      <c r="B9" s="192"/>
      <c r="C9" s="536"/>
      <c r="D9" s="536"/>
      <c r="E9" s="536"/>
      <c r="F9" s="536"/>
      <c r="G9" s="536"/>
      <c r="H9" s="536"/>
      <c r="I9" s="536"/>
      <c r="J9" s="536"/>
      <c r="K9" s="492"/>
    </row>
    <row r="10" spans="1:11">
      <c r="A10" s="197">
        <v>2</v>
      </c>
      <c r="B10" s="198" t="s">
        <v>265</v>
      </c>
      <c r="C10" s="493">
        <v>22228328.845670294</v>
      </c>
      <c r="D10" s="604">
        <v>367268760.36342746</v>
      </c>
      <c r="E10" s="604">
        <v>389497089.2090978</v>
      </c>
      <c r="F10" s="604">
        <v>4655444.2445406523</v>
      </c>
      <c r="G10" s="604">
        <v>68329833.34598726</v>
      </c>
      <c r="H10" s="604">
        <v>72985277.590527877</v>
      </c>
      <c r="I10" s="604">
        <v>867676.29563186585</v>
      </c>
      <c r="J10" s="604">
        <v>9188641.4139756076</v>
      </c>
      <c r="K10" s="494">
        <v>10056317.70960748</v>
      </c>
    </row>
    <row r="11" spans="1:11">
      <c r="A11" s="197">
        <v>3</v>
      </c>
      <c r="B11" s="198" t="s">
        <v>259</v>
      </c>
      <c r="C11" s="493">
        <v>149673642.28156042</v>
      </c>
      <c r="D11" s="604">
        <v>533759422.45879257</v>
      </c>
      <c r="E11" s="604">
        <v>683433064.74035275</v>
      </c>
      <c r="F11" s="604">
        <v>26261873.862351652</v>
      </c>
      <c r="G11" s="604">
        <v>262024229.94035402</v>
      </c>
      <c r="H11" s="604">
        <v>288286103.80270553</v>
      </c>
      <c r="I11" s="604">
        <v>20124627.722000007</v>
      </c>
      <c r="J11" s="604">
        <v>117376891.84537672</v>
      </c>
      <c r="K11" s="494">
        <v>137501519.56737667</v>
      </c>
    </row>
    <row r="12" spans="1:11">
      <c r="A12" s="197">
        <v>4</v>
      </c>
      <c r="B12" s="198" t="s">
        <v>260</v>
      </c>
      <c r="C12" s="493">
        <v>0</v>
      </c>
      <c r="D12" s="604">
        <v>0</v>
      </c>
      <c r="E12" s="604">
        <v>0</v>
      </c>
      <c r="F12" s="604">
        <v>0</v>
      </c>
      <c r="G12" s="604">
        <v>0</v>
      </c>
      <c r="H12" s="604">
        <v>0</v>
      </c>
      <c r="I12" s="604">
        <v>0</v>
      </c>
      <c r="J12" s="604">
        <v>0</v>
      </c>
      <c r="K12" s="494">
        <v>0</v>
      </c>
    </row>
    <row r="13" spans="1:11">
      <c r="A13" s="197">
        <v>5</v>
      </c>
      <c r="B13" s="198" t="s">
        <v>268</v>
      </c>
      <c r="C13" s="493">
        <v>61684235.740879133</v>
      </c>
      <c r="D13" s="604">
        <v>26304289.69600635</v>
      </c>
      <c r="E13" s="604">
        <v>87988525.436885506</v>
      </c>
      <c r="F13" s="604">
        <v>8511799.0929467026</v>
      </c>
      <c r="G13" s="604">
        <v>5726262.9645574214</v>
      </c>
      <c r="H13" s="604">
        <v>14238062.057504119</v>
      </c>
      <c r="I13" s="604">
        <v>3544686.7261703308</v>
      </c>
      <c r="J13" s="604">
        <v>2018828.4865996549</v>
      </c>
      <c r="K13" s="494">
        <v>5563515.212769988</v>
      </c>
    </row>
    <row r="14" spans="1:11">
      <c r="A14" s="197">
        <v>6</v>
      </c>
      <c r="B14" s="198" t="s">
        <v>300</v>
      </c>
      <c r="C14" s="493"/>
      <c r="D14" s="604"/>
      <c r="E14" s="604"/>
      <c r="F14" s="604"/>
      <c r="G14" s="604"/>
      <c r="H14" s="604"/>
      <c r="I14" s="604"/>
      <c r="J14" s="604"/>
      <c r="K14" s="494"/>
    </row>
    <row r="15" spans="1:11">
      <c r="A15" s="197">
        <v>7</v>
      </c>
      <c r="B15" s="198" t="s">
        <v>301</v>
      </c>
      <c r="C15" s="493">
        <v>40899038.537291721</v>
      </c>
      <c r="D15" s="604">
        <v>101163384.31396933</v>
      </c>
      <c r="E15" s="604">
        <v>142062422.85126111</v>
      </c>
      <c r="F15" s="604">
        <v>1164925.0485768642</v>
      </c>
      <c r="G15" s="604">
        <v>753291.1949047345</v>
      </c>
      <c r="H15" s="604">
        <v>1918216.2434815993</v>
      </c>
      <c r="I15" s="604">
        <v>1164925.0485768642</v>
      </c>
      <c r="J15" s="604">
        <v>753291.1949047345</v>
      </c>
      <c r="K15" s="494">
        <v>1918216.2434815993</v>
      </c>
    </row>
    <row r="16" spans="1:11">
      <c r="A16" s="197">
        <v>8</v>
      </c>
      <c r="B16" s="199" t="s">
        <v>261</v>
      </c>
      <c r="C16" s="493">
        <v>274485245.40540153</v>
      </c>
      <c r="D16" s="604">
        <v>1028495856.8321958</v>
      </c>
      <c r="E16" s="604">
        <v>1302981102.2375972</v>
      </c>
      <c r="F16" s="604">
        <v>40594042.248415865</v>
      </c>
      <c r="G16" s="604">
        <v>336833617.44580346</v>
      </c>
      <c r="H16" s="604">
        <v>377427659.69421911</v>
      </c>
      <c r="I16" s="604">
        <v>25701915.79237907</v>
      </c>
      <c r="J16" s="604">
        <v>129337652.94085671</v>
      </c>
      <c r="K16" s="494">
        <v>155039568.73323575</v>
      </c>
    </row>
    <row r="17" spans="1:11">
      <c r="A17" s="191" t="s">
        <v>258</v>
      </c>
      <c r="B17" s="192"/>
      <c r="C17" s="536"/>
      <c r="D17" s="536"/>
      <c r="E17" s="536"/>
      <c r="F17" s="536"/>
      <c r="G17" s="536"/>
      <c r="H17" s="536"/>
      <c r="I17" s="536"/>
      <c r="J17" s="536"/>
      <c r="K17" s="492"/>
    </row>
    <row r="18" spans="1:11">
      <c r="A18" s="197">
        <v>9</v>
      </c>
      <c r="B18" s="198" t="s">
        <v>264</v>
      </c>
      <c r="C18" s="493">
        <v>0</v>
      </c>
      <c r="D18" s="604">
        <v>0</v>
      </c>
      <c r="E18" s="604">
        <v>0</v>
      </c>
      <c r="F18" s="604">
        <v>0</v>
      </c>
      <c r="G18" s="604">
        <v>0</v>
      </c>
      <c r="H18" s="604">
        <v>0</v>
      </c>
      <c r="I18" s="604">
        <v>0</v>
      </c>
      <c r="J18" s="604">
        <v>0</v>
      </c>
      <c r="K18" s="494">
        <v>0</v>
      </c>
    </row>
    <row r="19" spans="1:11">
      <c r="A19" s="197">
        <v>10</v>
      </c>
      <c r="B19" s="198" t="s">
        <v>302</v>
      </c>
      <c r="C19" s="493">
        <v>293073404.83140177</v>
      </c>
      <c r="D19" s="604">
        <v>750389224.83912802</v>
      </c>
      <c r="E19" s="604">
        <v>1043462629.6705295</v>
      </c>
      <c r="F19" s="604">
        <v>14206752.415667217</v>
      </c>
      <c r="G19" s="604">
        <v>8201261.0833220361</v>
      </c>
      <c r="H19" s="604">
        <v>22408013.498989251</v>
      </c>
      <c r="I19" s="604">
        <v>33722481.20935934</v>
      </c>
      <c r="J19" s="604">
        <v>345351322.39104283</v>
      </c>
      <c r="K19" s="494">
        <v>379073803.60040206</v>
      </c>
    </row>
    <row r="20" spans="1:11">
      <c r="A20" s="197">
        <v>11</v>
      </c>
      <c r="B20" s="198" t="s">
        <v>263</v>
      </c>
      <c r="C20" s="493">
        <v>25082690.267611418</v>
      </c>
      <c r="D20" s="604">
        <v>206602.30268021996</v>
      </c>
      <c r="E20" s="604">
        <v>25289292.570291638</v>
      </c>
      <c r="F20" s="604">
        <v>466988.72208323446</v>
      </c>
      <c r="G20" s="604">
        <v>0</v>
      </c>
      <c r="H20" s="604">
        <v>466988.72208323446</v>
      </c>
      <c r="I20" s="604">
        <v>466988.72208323446</v>
      </c>
      <c r="J20" s="604">
        <v>0</v>
      </c>
      <c r="K20" s="494">
        <v>466988.72208323446</v>
      </c>
    </row>
    <row r="21" spans="1:11" ht="13.5" thickBot="1">
      <c r="A21" s="200">
        <v>12</v>
      </c>
      <c r="B21" s="201" t="s">
        <v>262</v>
      </c>
      <c r="C21" s="640">
        <v>318156095.09901321</v>
      </c>
      <c r="D21" s="641">
        <v>750595827.14180827</v>
      </c>
      <c r="E21" s="640">
        <v>1068751922.2408211</v>
      </c>
      <c r="F21" s="641">
        <v>14673741.137750452</v>
      </c>
      <c r="G21" s="641">
        <v>8201261.0833220361</v>
      </c>
      <c r="H21" s="641">
        <v>22875002.221072484</v>
      </c>
      <c r="I21" s="641">
        <v>34189469.931442574</v>
      </c>
      <c r="J21" s="641">
        <v>345351322.39104283</v>
      </c>
      <c r="K21" s="642">
        <v>379540792.32248527</v>
      </c>
    </row>
    <row r="22" spans="1:11" ht="38.25" customHeight="1" thickBot="1">
      <c r="A22" s="202"/>
      <c r="B22" s="203"/>
      <c r="C22" s="203"/>
      <c r="D22" s="203"/>
      <c r="E22" s="203"/>
      <c r="F22" s="741" t="s">
        <v>304</v>
      </c>
      <c r="G22" s="739"/>
      <c r="H22" s="739"/>
      <c r="I22" s="741" t="s">
        <v>269</v>
      </c>
      <c r="J22" s="739"/>
      <c r="K22" s="740"/>
    </row>
    <row r="23" spans="1:11">
      <c r="A23" s="204">
        <v>13</v>
      </c>
      <c r="B23" s="205" t="s">
        <v>254</v>
      </c>
      <c r="C23" s="206"/>
      <c r="D23" s="206"/>
      <c r="E23" s="206"/>
      <c r="F23" s="643">
        <v>74502470.412196904</v>
      </c>
      <c r="G23" s="643">
        <v>528730638.74989611</v>
      </c>
      <c r="H23" s="643">
        <v>603233109.1620934</v>
      </c>
      <c r="I23" s="643">
        <v>54987653.305318005</v>
      </c>
      <c r="J23" s="643">
        <v>232585519.70845571</v>
      </c>
      <c r="K23" s="644">
        <v>287573173.0137738</v>
      </c>
    </row>
    <row r="24" spans="1:11" ht="13.5" thickBot="1">
      <c r="A24" s="207">
        <v>14</v>
      </c>
      <c r="B24" s="208" t="s">
        <v>266</v>
      </c>
      <c r="C24" s="209"/>
      <c r="D24" s="210"/>
      <c r="E24" s="211"/>
      <c r="F24" s="535">
        <v>25920301.110665411</v>
      </c>
      <c r="G24" s="535">
        <v>328632356.36248142</v>
      </c>
      <c r="H24" s="535">
        <v>354552657.47314662</v>
      </c>
      <c r="I24" s="535">
        <v>6425478.9480947675</v>
      </c>
      <c r="J24" s="535">
        <v>32334413.235214178</v>
      </c>
      <c r="K24" s="534">
        <v>38759892.183308937</v>
      </c>
    </row>
    <row r="25" spans="1:11" ht="13.5" thickBot="1">
      <c r="A25" s="212">
        <v>15</v>
      </c>
      <c r="B25" s="213" t="s">
        <v>267</v>
      </c>
      <c r="C25" s="214"/>
      <c r="D25" s="214"/>
      <c r="E25" s="214"/>
      <c r="F25" s="645">
        <v>2.8742903137626521</v>
      </c>
      <c r="G25" s="645">
        <v>1.608881866053099</v>
      </c>
      <c r="H25" s="645">
        <v>1.7013921527517575</v>
      </c>
      <c r="I25" s="645">
        <v>8.5577516866073484</v>
      </c>
      <c r="J25" s="645">
        <v>7.1931263454985377</v>
      </c>
      <c r="K25" s="646">
        <v>7.4193491471477993</v>
      </c>
    </row>
    <row r="27" spans="1:11" ht="25.5">
      <c r="B27" s="188"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9"/>
  </cols>
  <sheetData>
    <row r="1" spans="1:14">
      <c r="A1" s="4" t="s">
        <v>30</v>
      </c>
      <c r="B1" s="3" t="str">
        <f>'Info '!C2</f>
        <v>JSC Cartu Bank</v>
      </c>
    </row>
    <row r="2" spans="1:14" ht="14.25" customHeight="1">
      <c r="A2" s="4" t="s">
        <v>31</v>
      </c>
      <c r="B2" s="663">
        <f>'1. key ratios '!B2</f>
        <v>45107</v>
      </c>
    </row>
    <row r="3" spans="1:14" ht="14.25" customHeight="1"/>
    <row r="4" spans="1:14" ht="13.5" thickBot="1">
      <c r="A4" s="4" t="s">
        <v>162</v>
      </c>
      <c r="B4" s="147" t="s">
        <v>28</v>
      </c>
    </row>
    <row r="5" spans="1:14" s="104" customFormat="1">
      <c r="A5" s="100"/>
      <c r="B5" s="101"/>
      <c r="C5" s="102" t="s">
        <v>0</v>
      </c>
      <c r="D5" s="102" t="s">
        <v>1</v>
      </c>
      <c r="E5" s="102" t="s">
        <v>2</v>
      </c>
      <c r="F5" s="102" t="s">
        <v>3</v>
      </c>
      <c r="G5" s="102" t="s">
        <v>4</v>
      </c>
      <c r="H5" s="102" t="s">
        <v>5</v>
      </c>
      <c r="I5" s="102" t="s">
        <v>8</v>
      </c>
      <c r="J5" s="102" t="s">
        <v>9</v>
      </c>
      <c r="K5" s="102" t="s">
        <v>10</v>
      </c>
      <c r="L5" s="102" t="s">
        <v>11</v>
      </c>
      <c r="M5" s="102" t="s">
        <v>12</v>
      </c>
      <c r="N5" s="103" t="s">
        <v>13</v>
      </c>
    </row>
    <row r="6" spans="1:14" ht="25.5">
      <c r="A6" s="105"/>
      <c r="B6" s="106"/>
      <c r="C6" s="107" t="s">
        <v>161</v>
      </c>
      <c r="D6" s="108" t="s">
        <v>160</v>
      </c>
      <c r="E6" s="109" t="s">
        <v>159</v>
      </c>
      <c r="F6" s="110">
        <v>0</v>
      </c>
      <c r="G6" s="110">
        <v>0.2</v>
      </c>
      <c r="H6" s="110">
        <v>0.35</v>
      </c>
      <c r="I6" s="110">
        <v>0.5</v>
      </c>
      <c r="J6" s="110">
        <v>0.75</v>
      </c>
      <c r="K6" s="110">
        <v>1</v>
      </c>
      <c r="L6" s="110">
        <v>1.5</v>
      </c>
      <c r="M6" s="110">
        <v>2.5</v>
      </c>
      <c r="N6" s="146" t="s">
        <v>168</v>
      </c>
    </row>
    <row r="7" spans="1:14" ht="15">
      <c r="A7" s="111">
        <v>1</v>
      </c>
      <c r="B7" s="112" t="s">
        <v>158</v>
      </c>
      <c r="C7" s="113">
        <f>SUM(C8:C13)</f>
        <v>0</v>
      </c>
      <c r="D7" s="106"/>
      <c r="E7" s="114">
        <f t="shared" ref="E7:M7" si="0">SUM(E8:E13)</f>
        <v>0</v>
      </c>
      <c r="F7" s="115">
        <f>SUM(F8:F13)</f>
        <v>0</v>
      </c>
      <c r="G7" s="115">
        <f t="shared" si="0"/>
        <v>0</v>
      </c>
      <c r="H7" s="115">
        <f t="shared" si="0"/>
        <v>0</v>
      </c>
      <c r="I7" s="115">
        <f t="shared" si="0"/>
        <v>0</v>
      </c>
      <c r="J7" s="115">
        <f t="shared" si="0"/>
        <v>0</v>
      </c>
      <c r="K7" s="115">
        <f t="shared" si="0"/>
        <v>0</v>
      </c>
      <c r="L7" s="115">
        <f t="shared" si="0"/>
        <v>0</v>
      </c>
      <c r="M7" s="115">
        <f t="shared" si="0"/>
        <v>0</v>
      </c>
      <c r="N7" s="116">
        <f>SUM(N8:N13)</f>
        <v>0</v>
      </c>
    </row>
    <row r="8" spans="1:14" ht="14.25">
      <c r="A8" s="111">
        <v>1.1000000000000001</v>
      </c>
      <c r="B8" s="117" t="s">
        <v>156</v>
      </c>
      <c r="C8" s="115">
        <v>0</v>
      </c>
      <c r="D8" s="118">
        <v>0.02</v>
      </c>
      <c r="E8" s="114">
        <f>C8*D8</f>
        <v>0</v>
      </c>
      <c r="F8" s="115"/>
      <c r="G8" s="115"/>
      <c r="H8" s="115"/>
      <c r="I8" s="115"/>
      <c r="J8" s="115"/>
      <c r="K8" s="115"/>
      <c r="L8" s="115"/>
      <c r="M8" s="115"/>
      <c r="N8" s="116">
        <f>SUMPRODUCT($F$6:$M$6,F8:M8)</f>
        <v>0</v>
      </c>
    </row>
    <row r="9" spans="1:14" ht="14.25">
      <c r="A9" s="111">
        <v>1.2</v>
      </c>
      <c r="B9" s="117" t="s">
        <v>155</v>
      </c>
      <c r="C9" s="115">
        <v>0</v>
      </c>
      <c r="D9" s="118">
        <v>0.05</v>
      </c>
      <c r="E9" s="114">
        <f>C9*D9</f>
        <v>0</v>
      </c>
      <c r="F9" s="115"/>
      <c r="G9" s="115"/>
      <c r="H9" s="115"/>
      <c r="I9" s="115"/>
      <c r="J9" s="115"/>
      <c r="K9" s="115"/>
      <c r="L9" s="115"/>
      <c r="M9" s="115"/>
      <c r="N9" s="116">
        <f t="shared" ref="N9:N12" si="1">SUMPRODUCT($F$6:$M$6,F9:M9)</f>
        <v>0</v>
      </c>
    </row>
    <row r="10" spans="1:14" ht="14.25">
      <c r="A10" s="111">
        <v>1.3</v>
      </c>
      <c r="B10" s="117" t="s">
        <v>154</v>
      </c>
      <c r="C10" s="115">
        <v>0</v>
      </c>
      <c r="D10" s="118">
        <v>0.08</v>
      </c>
      <c r="E10" s="114">
        <f>C10*D10</f>
        <v>0</v>
      </c>
      <c r="F10" s="115"/>
      <c r="G10" s="115"/>
      <c r="H10" s="115"/>
      <c r="I10" s="115"/>
      <c r="J10" s="115"/>
      <c r="K10" s="115"/>
      <c r="L10" s="115"/>
      <c r="M10" s="115"/>
      <c r="N10" s="116">
        <f>SUMPRODUCT($F$6:$M$6,F10:M10)</f>
        <v>0</v>
      </c>
    </row>
    <row r="11" spans="1:14" ht="14.25">
      <c r="A11" s="111">
        <v>1.4</v>
      </c>
      <c r="B11" s="117" t="s">
        <v>153</v>
      </c>
      <c r="C11" s="115">
        <v>0</v>
      </c>
      <c r="D11" s="118">
        <v>0.11</v>
      </c>
      <c r="E11" s="114">
        <f>C11*D11</f>
        <v>0</v>
      </c>
      <c r="F11" s="115"/>
      <c r="G11" s="115"/>
      <c r="H11" s="115"/>
      <c r="I11" s="115"/>
      <c r="J11" s="115"/>
      <c r="K11" s="115"/>
      <c r="L11" s="115"/>
      <c r="M11" s="115"/>
      <c r="N11" s="116">
        <f t="shared" si="1"/>
        <v>0</v>
      </c>
    </row>
    <row r="12" spans="1:14" ht="14.25">
      <c r="A12" s="111">
        <v>1.5</v>
      </c>
      <c r="B12" s="117" t="s">
        <v>152</v>
      </c>
      <c r="C12" s="115">
        <v>0</v>
      </c>
      <c r="D12" s="118">
        <v>0.14000000000000001</v>
      </c>
      <c r="E12" s="114">
        <f>C12*D12</f>
        <v>0</v>
      </c>
      <c r="F12" s="115"/>
      <c r="G12" s="115"/>
      <c r="H12" s="115"/>
      <c r="I12" s="115"/>
      <c r="J12" s="115"/>
      <c r="K12" s="115"/>
      <c r="L12" s="115"/>
      <c r="M12" s="115"/>
      <c r="N12" s="116">
        <f t="shared" si="1"/>
        <v>0</v>
      </c>
    </row>
    <row r="13" spans="1:14" ht="14.25">
      <c r="A13" s="111">
        <v>1.6</v>
      </c>
      <c r="B13" s="119" t="s">
        <v>151</v>
      </c>
      <c r="C13" s="115">
        <v>0</v>
      </c>
      <c r="D13" s="120"/>
      <c r="E13" s="115"/>
      <c r="F13" s="115"/>
      <c r="G13" s="115"/>
      <c r="H13" s="115"/>
      <c r="I13" s="115"/>
      <c r="J13" s="115"/>
      <c r="K13" s="115"/>
      <c r="L13" s="115"/>
      <c r="M13" s="115"/>
      <c r="N13" s="116">
        <f>SUMPRODUCT($F$6:$M$6,F13:M13)</f>
        <v>0</v>
      </c>
    </row>
    <row r="14" spans="1:14" ht="15">
      <c r="A14" s="111">
        <v>2</v>
      </c>
      <c r="B14" s="121" t="s">
        <v>157</v>
      </c>
      <c r="C14" s="113">
        <f>SUM(C15:C20)</f>
        <v>0</v>
      </c>
      <c r="D14" s="106"/>
      <c r="E14" s="114">
        <f t="shared" ref="E14:M14" si="2">SUM(E15:E20)</f>
        <v>0</v>
      </c>
      <c r="F14" s="115">
        <f t="shared" si="2"/>
        <v>0</v>
      </c>
      <c r="G14" s="115">
        <f t="shared" si="2"/>
        <v>0</v>
      </c>
      <c r="H14" s="115">
        <f t="shared" si="2"/>
        <v>0</v>
      </c>
      <c r="I14" s="115">
        <f t="shared" si="2"/>
        <v>0</v>
      </c>
      <c r="J14" s="115">
        <f t="shared" si="2"/>
        <v>0</v>
      </c>
      <c r="K14" s="115">
        <f t="shared" si="2"/>
        <v>0</v>
      </c>
      <c r="L14" s="115">
        <f t="shared" si="2"/>
        <v>0</v>
      </c>
      <c r="M14" s="115">
        <f t="shared" si="2"/>
        <v>0</v>
      </c>
      <c r="N14" s="116">
        <f>SUM(N15:N20)</f>
        <v>0</v>
      </c>
    </row>
    <row r="15" spans="1:14" ht="14.25">
      <c r="A15" s="111">
        <v>2.1</v>
      </c>
      <c r="B15" s="119" t="s">
        <v>156</v>
      </c>
      <c r="C15" s="115"/>
      <c r="D15" s="118">
        <v>5.0000000000000001E-3</v>
      </c>
      <c r="E15" s="114">
        <f>C15*D15</f>
        <v>0</v>
      </c>
      <c r="F15" s="115"/>
      <c r="G15" s="115"/>
      <c r="H15" s="115"/>
      <c r="I15" s="115"/>
      <c r="J15" s="115"/>
      <c r="K15" s="115"/>
      <c r="L15" s="115"/>
      <c r="M15" s="115"/>
      <c r="N15" s="116">
        <f>SUMPRODUCT($F$6:$M$6,F15:M15)</f>
        <v>0</v>
      </c>
    </row>
    <row r="16" spans="1:14" ht="14.25">
      <c r="A16" s="111">
        <v>2.2000000000000002</v>
      </c>
      <c r="B16" s="119" t="s">
        <v>155</v>
      </c>
      <c r="C16" s="115"/>
      <c r="D16" s="118">
        <v>0.01</v>
      </c>
      <c r="E16" s="114">
        <f>C16*D16</f>
        <v>0</v>
      </c>
      <c r="F16" s="115"/>
      <c r="G16" s="115"/>
      <c r="H16" s="115"/>
      <c r="I16" s="115"/>
      <c r="J16" s="115"/>
      <c r="K16" s="115"/>
      <c r="L16" s="115"/>
      <c r="M16" s="115"/>
      <c r="N16" s="116">
        <f t="shared" ref="N16:N20" si="3">SUMPRODUCT($F$6:$M$6,F16:M16)</f>
        <v>0</v>
      </c>
    </row>
    <row r="17" spans="1:14" ht="14.25">
      <c r="A17" s="111">
        <v>2.2999999999999998</v>
      </c>
      <c r="B17" s="119" t="s">
        <v>154</v>
      </c>
      <c r="C17" s="115"/>
      <c r="D17" s="118">
        <v>0.02</v>
      </c>
      <c r="E17" s="114">
        <f>C17*D17</f>
        <v>0</v>
      </c>
      <c r="F17" s="115"/>
      <c r="G17" s="115"/>
      <c r="H17" s="115"/>
      <c r="I17" s="115"/>
      <c r="J17" s="115"/>
      <c r="K17" s="115"/>
      <c r="L17" s="115"/>
      <c r="M17" s="115"/>
      <c r="N17" s="116">
        <f t="shared" si="3"/>
        <v>0</v>
      </c>
    </row>
    <row r="18" spans="1:14" ht="14.25">
      <c r="A18" s="111">
        <v>2.4</v>
      </c>
      <c r="B18" s="119" t="s">
        <v>153</v>
      </c>
      <c r="C18" s="115"/>
      <c r="D18" s="118">
        <v>0.03</v>
      </c>
      <c r="E18" s="114">
        <f>C18*D18</f>
        <v>0</v>
      </c>
      <c r="F18" s="115"/>
      <c r="G18" s="115"/>
      <c r="H18" s="115"/>
      <c r="I18" s="115"/>
      <c r="J18" s="115"/>
      <c r="K18" s="115"/>
      <c r="L18" s="115"/>
      <c r="M18" s="115"/>
      <c r="N18" s="116">
        <f t="shared" si="3"/>
        <v>0</v>
      </c>
    </row>
    <row r="19" spans="1:14" ht="14.25">
      <c r="A19" s="111">
        <v>2.5</v>
      </c>
      <c r="B19" s="119" t="s">
        <v>152</v>
      </c>
      <c r="C19" s="115"/>
      <c r="D19" s="118">
        <v>0.04</v>
      </c>
      <c r="E19" s="114">
        <f>C19*D19</f>
        <v>0</v>
      </c>
      <c r="F19" s="115"/>
      <c r="G19" s="115"/>
      <c r="H19" s="115"/>
      <c r="I19" s="115"/>
      <c r="J19" s="115"/>
      <c r="K19" s="115"/>
      <c r="L19" s="115"/>
      <c r="M19" s="115"/>
      <c r="N19" s="116">
        <f t="shared" si="3"/>
        <v>0</v>
      </c>
    </row>
    <row r="20" spans="1:14" ht="14.25">
      <c r="A20" s="111">
        <v>2.6</v>
      </c>
      <c r="B20" s="119" t="s">
        <v>151</v>
      </c>
      <c r="C20" s="115"/>
      <c r="D20" s="120"/>
      <c r="E20" s="122"/>
      <c r="F20" s="115"/>
      <c r="G20" s="115"/>
      <c r="H20" s="115"/>
      <c r="I20" s="115"/>
      <c r="J20" s="115"/>
      <c r="K20" s="115"/>
      <c r="L20" s="115"/>
      <c r="M20" s="115"/>
      <c r="N20" s="116">
        <f t="shared" si="3"/>
        <v>0</v>
      </c>
    </row>
    <row r="21" spans="1:14" ht="15.75" thickBot="1">
      <c r="A21" s="123"/>
      <c r="B21" s="124" t="s">
        <v>64</v>
      </c>
      <c r="C21" s="99">
        <f>C14+C7</f>
        <v>0</v>
      </c>
      <c r="D21" s="125"/>
      <c r="E21" s="126">
        <f>E14+E7</f>
        <v>0</v>
      </c>
      <c r="F21" s="127">
        <f>F7+F14</f>
        <v>0</v>
      </c>
      <c r="G21" s="127">
        <f t="shared" ref="G21:L21" si="4">G7+G14</f>
        <v>0</v>
      </c>
      <c r="H21" s="127">
        <f t="shared" si="4"/>
        <v>0</v>
      </c>
      <c r="I21" s="127">
        <f t="shared" si="4"/>
        <v>0</v>
      </c>
      <c r="J21" s="127">
        <f t="shared" si="4"/>
        <v>0</v>
      </c>
      <c r="K21" s="127">
        <f t="shared" si="4"/>
        <v>0</v>
      </c>
      <c r="L21" s="127">
        <f t="shared" si="4"/>
        <v>0</v>
      </c>
      <c r="M21" s="127">
        <f>M7+M14</f>
        <v>0</v>
      </c>
      <c r="N21" s="128">
        <f>N14+N7</f>
        <v>0</v>
      </c>
    </row>
    <row r="22" spans="1:14">
      <c r="E22" s="129"/>
      <c r="F22" s="129"/>
      <c r="G22" s="129"/>
      <c r="H22" s="129"/>
      <c r="I22" s="129"/>
      <c r="J22" s="129"/>
      <c r="K22" s="129"/>
      <c r="L22" s="129"/>
      <c r="M22" s="129"/>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3"/>
  <sheetViews>
    <sheetView zoomScale="90" zoomScaleNormal="90" workbookViewId="0"/>
  </sheetViews>
  <sheetFormatPr defaultRowHeight="15"/>
  <cols>
    <col min="1" max="1" width="11.42578125" customWidth="1"/>
    <col min="2" max="2" width="76.85546875" style="238" customWidth="1"/>
    <col min="3" max="3" width="22.85546875" customWidth="1"/>
  </cols>
  <sheetData>
    <row r="1" spans="1:5">
      <c r="A1" s="2" t="s">
        <v>30</v>
      </c>
      <c r="B1" s="3" t="str">
        <f>'Info '!C2</f>
        <v>JSC Cartu Bank</v>
      </c>
    </row>
    <row r="2" spans="1:5">
      <c r="A2" s="2" t="s">
        <v>31</v>
      </c>
      <c r="B2" s="663">
        <f>'1. key ratios '!B2</f>
        <v>45107</v>
      </c>
    </row>
    <row r="3" spans="1:5">
      <c r="A3" s="4"/>
      <c r="B3"/>
    </row>
    <row r="4" spans="1:5">
      <c r="A4" s="4" t="s">
        <v>308</v>
      </c>
      <c r="B4" t="s">
        <v>309</v>
      </c>
    </row>
    <row r="5" spans="1:5">
      <c r="A5" s="239" t="s">
        <v>310</v>
      </c>
      <c r="B5" s="240"/>
      <c r="C5" s="241"/>
    </row>
    <row r="6" spans="1:5" ht="24">
      <c r="A6" s="242">
        <v>1</v>
      </c>
      <c r="B6" s="243" t="s">
        <v>361</v>
      </c>
      <c r="C6" s="244">
        <v>1614918910.8000023</v>
      </c>
      <c r="E6" s="617"/>
    </row>
    <row r="7" spans="1:5">
      <c r="A7" s="242">
        <v>2</v>
      </c>
      <c r="B7" s="243" t="s">
        <v>311</v>
      </c>
      <c r="C7" s="244">
        <v>-5486734.5799999991</v>
      </c>
      <c r="E7" s="617"/>
    </row>
    <row r="8" spans="1:5" ht="24">
      <c r="A8" s="245">
        <v>3</v>
      </c>
      <c r="B8" s="246" t="s">
        <v>312</v>
      </c>
      <c r="C8" s="244">
        <f>C6+C7</f>
        <v>1609432176.2200024</v>
      </c>
      <c r="E8" s="617"/>
    </row>
    <row r="9" spans="1:5">
      <c r="A9" s="239" t="s">
        <v>313</v>
      </c>
      <c r="B9" s="240"/>
      <c r="C9" s="247"/>
      <c r="E9" s="617"/>
    </row>
    <row r="10" spans="1:5" ht="24">
      <c r="A10" s="248">
        <v>4</v>
      </c>
      <c r="B10" s="249" t="s">
        <v>314</v>
      </c>
      <c r="C10" s="244"/>
      <c r="E10" s="617"/>
    </row>
    <row r="11" spans="1:5">
      <c r="A11" s="248">
        <v>5</v>
      </c>
      <c r="B11" s="250" t="s">
        <v>315</v>
      </c>
      <c r="C11" s="244"/>
      <c r="E11" s="617"/>
    </row>
    <row r="12" spans="1:5">
      <c r="A12" s="248" t="s">
        <v>316</v>
      </c>
      <c r="B12" s="250" t="s">
        <v>317</v>
      </c>
      <c r="C12" s="244"/>
      <c r="E12" s="617"/>
    </row>
    <row r="13" spans="1:5" ht="24">
      <c r="A13" s="251">
        <v>6</v>
      </c>
      <c r="B13" s="249" t="s">
        <v>318</v>
      </c>
      <c r="C13" s="244"/>
      <c r="E13" s="617"/>
    </row>
    <row r="14" spans="1:5">
      <c r="A14" s="251">
        <v>7</v>
      </c>
      <c r="B14" s="252" t="s">
        <v>319</v>
      </c>
      <c r="C14" s="244"/>
      <c r="E14" s="617"/>
    </row>
    <row r="15" spans="1:5">
      <c r="A15" s="253">
        <v>8</v>
      </c>
      <c r="B15" s="254" t="s">
        <v>320</v>
      </c>
      <c r="C15" s="244"/>
      <c r="E15" s="617"/>
    </row>
    <row r="16" spans="1:5">
      <c r="A16" s="251">
        <v>9</v>
      </c>
      <c r="B16" s="252" t="s">
        <v>321</v>
      </c>
      <c r="C16" s="244"/>
      <c r="E16" s="617"/>
    </row>
    <row r="17" spans="1:5">
      <c r="A17" s="251">
        <v>10</v>
      </c>
      <c r="B17" s="252" t="s">
        <v>322</v>
      </c>
      <c r="C17" s="244"/>
      <c r="E17" s="617"/>
    </row>
    <row r="18" spans="1:5">
      <c r="A18" s="255">
        <v>11</v>
      </c>
      <c r="B18" s="256" t="s">
        <v>323</v>
      </c>
      <c r="C18" s="257">
        <f>SUM(C10:C17)</f>
        <v>0</v>
      </c>
      <c r="E18" s="617"/>
    </row>
    <row r="19" spans="1:5">
      <c r="A19" s="258" t="s">
        <v>324</v>
      </c>
      <c r="B19" s="259"/>
      <c r="C19" s="260"/>
      <c r="E19" s="617"/>
    </row>
    <row r="20" spans="1:5" ht="24">
      <c r="A20" s="261">
        <v>12</v>
      </c>
      <c r="B20" s="249" t="s">
        <v>325</v>
      </c>
      <c r="C20" s="244"/>
      <c r="E20" s="617"/>
    </row>
    <row r="21" spans="1:5">
      <c r="A21" s="261">
        <v>13</v>
      </c>
      <c r="B21" s="249" t="s">
        <v>326</v>
      </c>
      <c r="C21" s="244"/>
      <c r="E21" s="617"/>
    </row>
    <row r="22" spans="1:5">
      <c r="A22" s="261">
        <v>14</v>
      </c>
      <c r="B22" s="249" t="s">
        <v>327</v>
      </c>
      <c r="C22" s="244"/>
      <c r="E22" s="617"/>
    </row>
    <row r="23" spans="1:5" ht="24">
      <c r="A23" s="261" t="s">
        <v>328</v>
      </c>
      <c r="B23" s="249" t="s">
        <v>329</v>
      </c>
      <c r="C23" s="244"/>
      <c r="E23" s="617"/>
    </row>
    <row r="24" spans="1:5">
      <c r="A24" s="261">
        <v>15</v>
      </c>
      <c r="B24" s="249" t="s">
        <v>330</v>
      </c>
      <c r="C24" s="244"/>
      <c r="E24" s="617"/>
    </row>
    <row r="25" spans="1:5">
      <c r="A25" s="261" t="s">
        <v>331</v>
      </c>
      <c r="B25" s="249" t="s">
        <v>332</v>
      </c>
      <c r="C25" s="244"/>
      <c r="E25" s="617"/>
    </row>
    <row r="26" spans="1:5">
      <c r="A26" s="262">
        <v>16</v>
      </c>
      <c r="B26" s="263" t="s">
        <v>333</v>
      </c>
      <c r="C26" s="257">
        <f>SUM(C20:C25)</f>
        <v>0</v>
      </c>
      <c r="E26" s="617"/>
    </row>
    <row r="27" spans="1:5">
      <c r="A27" s="239" t="s">
        <v>334</v>
      </c>
      <c r="B27" s="240"/>
      <c r="C27" s="247"/>
      <c r="E27" s="617"/>
    </row>
    <row r="28" spans="1:5">
      <c r="A28" s="264">
        <v>17</v>
      </c>
      <c r="B28" s="250" t="s">
        <v>335</v>
      </c>
      <c r="C28" s="244">
        <v>85840284.326937199</v>
      </c>
      <c r="E28" s="617"/>
    </row>
    <row r="29" spans="1:5">
      <c r="A29" s="264">
        <v>18</v>
      </c>
      <c r="B29" s="250" t="s">
        <v>336</v>
      </c>
      <c r="C29" s="244">
        <v>-40173133.803671017</v>
      </c>
      <c r="E29" s="617"/>
    </row>
    <row r="30" spans="1:5">
      <c r="A30" s="262">
        <v>19</v>
      </c>
      <c r="B30" s="263" t="s">
        <v>337</v>
      </c>
      <c r="C30" s="257">
        <f>C28+C29</f>
        <v>45667150.523266181</v>
      </c>
      <c r="E30" s="617"/>
    </row>
    <row r="31" spans="1:5">
      <c r="A31" s="239" t="s">
        <v>338</v>
      </c>
      <c r="B31" s="240"/>
      <c r="C31" s="247"/>
      <c r="E31" s="617"/>
    </row>
    <row r="32" spans="1:5" ht="24">
      <c r="A32" s="264" t="s">
        <v>339</v>
      </c>
      <c r="B32" s="249" t="s">
        <v>340</v>
      </c>
      <c r="C32" s="265"/>
      <c r="E32" s="617"/>
    </row>
    <row r="33" spans="1:5">
      <c r="A33" s="264" t="s">
        <v>341</v>
      </c>
      <c r="B33" s="250" t="s">
        <v>342</v>
      </c>
      <c r="C33" s="265"/>
      <c r="E33" s="617"/>
    </row>
    <row r="34" spans="1:5">
      <c r="A34" s="239" t="s">
        <v>343</v>
      </c>
      <c r="B34" s="240"/>
      <c r="C34" s="247"/>
      <c r="E34" s="617"/>
    </row>
    <row r="35" spans="1:5">
      <c r="A35" s="266">
        <v>20</v>
      </c>
      <c r="B35" s="267" t="s">
        <v>344</v>
      </c>
      <c r="C35" s="257">
        <v>435938378.25768387</v>
      </c>
      <c r="E35" s="617"/>
    </row>
    <row r="36" spans="1:5">
      <c r="A36" s="262">
        <v>21</v>
      </c>
      <c r="B36" s="263" t="s">
        <v>345</v>
      </c>
      <c r="C36" s="257">
        <f>C8+C18+C26+C30</f>
        <v>1655099326.7432685</v>
      </c>
      <c r="E36" s="617"/>
    </row>
    <row r="37" spans="1:5">
      <c r="A37" s="239" t="s">
        <v>346</v>
      </c>
      <c r="B37" s="240"/>
      <c r="C37" s="247"/>
      <c r="E37" s="617"/>
    </row>
    <row r="38" spans="1:5">
      <c r="A38" s="262">
        <v>22</v>
      </c>
      <c r="B38" s="263" t="s">
        <v>346</v>
      </c>
      <c r="C38" s="533">
        <f t="shared" ref="C38" si="0">C35/C36</f>
        <v>0.26339106735997403</v>
      </c>
      <c r="E38" s="617"/>
    </row>
    <row r="39" spans="1:5">
      <c r="A39" s="239" t="s">
        <v>347</v>
      </c>
      <c r="B39" s="240"/>
      <c r="C39" s="247"/>
      <c r="E39" s="617"/>
    </row>
    <row r="40" spans="1:5">
      <c r="A40" s="268" t="s">
        <v>348</v>
      </c>
      <c r="B40" s="249" t="s">
        <v>349</v>
      </c>
      <c r="C40" s="265"/>
    </row>
    <row r="41" spans="1:5" ht="24">
      <c r="A41" s="269" t="s">
        <v>350</v>
      </c>
      <c r="B41" s="243" t="s">
        <v>351</v>
      </c>
      <c r="C41" s="265"/>
    </row>
    <row r="43" spans="1:5">
      <c r="B43" s="238"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2"/>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RowHeight="15"/>
  <cols>
    <col min="1" max="1" width="8.7109375" style="153"/>
    <col min="2" max="2" width="82.5703125" style="160" customWidth="1"/>
    <col min="3" max="7" width="17.5703125" style="153" customWidth="1"/>
  </cols>
  <sheetData>
    <row r="1" spans="1:14">
      <c r="A1" s="153" t="s">
        <v>30</v>
      </c>
      <c r="B1" s="3" t="str">
        <f>'Info '!C2</f>
        <v>JSC Cartu Bank</v>
      </c>
    </row>
    <row r="2" spans="1:14">
      <c r="A2" s="153" t="s">
        <v>31</v>
      </c>
      <c r="B2" s="663">
        <f>'1. key ratios '!B2</f>
        <v>45107</v>
      </c>
    </row>
    <row r="4" spans="1:14" ht="15.75" thickBot="1">
      <c r="A4" s="153" t="s">
        <v>412</v>
      </c>
      <c r="B4" s="302" t="s">
        <v>373</v>
      </c>
    </row>
    <row r="5" spans="1:14">
      <c r="A5" s="303"/>
      <c r="B5" s="304"/>
      <c r="C5" s="742" t="s">
        <v>374</v>
      </c>
      <c r="D5" s="742"/>
      <c r="E5" s="742"/>
      <c r="F5" s="742"/>
      <c r="G5" s="743" t="s">
        <v>375</v>
      </c>
    </row>
    <row r="6" spans="1:14">
      <c r="A6" s="305"/>
      <c r="B6" s="306"/>
      <c r="C6" s="307" t="s">
        <v>376</v>
      </c>
      <c r="D6" s="307" t="s">
        <v>377</v>
      </c>
      <c r="E6" s="307" t="s">
        <v>378</v>
      </c>
      <c r="F6" s="307" t="s">
        <v>379</v>
      </c>
      <c r="G6" s="744"/>
    </row>
    <row r="7" spans="1:14">
      <c r="A7" s="308"/>
      <c r="B7" s="309" t="s">
        <v>380</v>
      </c>
      <c r="C7" s="310"/>
      <c r="D7" s="310"/>
      <c r="E7" s="310"/>
      <c r="F7" s="310"/>
      <c r="G7" s="311"/>
    </row>
    <row r="8" spans="1:14">
      <c r="A8" s="312">
        <v>1</v>
      </c>
      <c r="B8" s="313" t="s">
        <v>381</v>
      </c>
      <c r="C8" s="315">
        <f>SUM(C9:C10)</f>
        <v>389105826.09768391</v>
      </c>
      <c r="D8" s="315">
        <f>SUM(D9:D10)</f>
        <v>0</v>
      </c>
      <c r="E8" s="315">
        <f>SUM(E9:E10)</f>
        <v>0</v>
      </c>
      <c r="F8" s="315">
        <f>SUM(F9:F10)</f>
        <v>174626667.7058</v>
      </c>
      <c r="G8" s="494">
        <f>SUM(G9:G10)</f>
        <v>563732493.80348384</v>
      </c>
      <c r="I8" s="617"/>
      <c r="J8" s="617"/>
      <c r="K8" s="617"/>
      <c r="L8" s="617"/>
      <c r="M8" s="617"/>
      <c r="N8" s="617"/>
    </row>
    <row r="9" spans="1:14">
      <c r="A9" s="312">
        <v>2</v>
      </c>
      <c r="B9" s="314" t="s">
        <v>382</v>
      </c>
      <c r="C9" s="315">
        <v>389105826.09768391</v>
      </c>
      <c r="D9" s="315"/>
      <c r="E9" s="315"/>
      <c r="F9" s="315">
        <v>71962472.159999996</v>
      </c>
      <c r="G9" s="494">
        <v>461068298.25768387</v>
      </c>
      <c r="I9" s="617"/>
      <c r="J9" s="617"/>
      <c r="K9" s="617"/>
      <c r="L9" s="617"/>
      <c r="M9" s="617"/>
    </row>
    <row r="10" spans="1:14">
      <c r="A10" s="312">
        <v>3</v>
      </c>
      <c r="B10" s="314" t="s">
        <v>383</v>
      </c>
      <c r="C10" s="532"/>
      <c r="D10" s="532"/>
      <c r="E10" s="532"/>
      <c r="F10" s="315">
        <v>102664195.5458</v>
      </c>
      <c r="G10" s="494">
        <v>102664195.5458</v>
      </c>
      <c r="I10" s="617"/>
      <c r="J10" s="617"/>
      <c r="K10" s="617"/>
      <c r="L10" s="617"/>
      <c r="M10" s="617"/>
    </row>
    <row r="11" spans="1:14" ht="14.45" customHeight="1">
      <c r="A11" s="312">
        <v>4</v>
      </c>
      <c r="B11" s="313" t="s">
        <v>384</v>
      </c>
      <c r="C11" s="315">
        <f t="shared" ref="C11:F11" si="0">SUM(C12:C13)</f>
        <v>162005778.46269995</v>
      </c>
      <c r="D11" s="315">
        <f t="shared" si="0"/>
        <v>147869331.46689999</v>
      </c>
      <c r="E11" s="315">
        <f t="shared" si="0"/>
        <v>78701659.255400002</v>
      </c>
      <c r="F11" s="315">
        <f t="shared" si="0"/>
        <v>0</v>
      </c>
      <c r="G11" s="494">
        <f>SUM(G12:G13)</f>
        <v>345688263.80095994</v>
      </c>
      <c r="I11" s="617"/>
      <c r="J11" s="617"/>
      <c r="K11" s="617"/>
      <c r="L11" s="617"/>
      <c r="M11" s="617"/>
    </row>
    <row r="12" spans="1:14">
      <c r="A12" s="312">
        <v>5</v>
      </c>
      <c r="B12" s="314" t="s">
        <v>385</v>
      </c>
      <c r="C12" s="315">
        <v>112132267.86579995</v>
      </c>
      <c r="D12" s="315">
        <v>146487178.3976</v>
      </c>
      <c r="E12" s="315">
        <v>77824729.755400002</v>
      </c>
      <c r="F12" s="315"/>
      <c r="G12" s="494">
        <v>319621967.21785992</v>
      </c>
      <c r="I12" s="617"/>
      <c r="J12" s="617"/>
      <c r="K12" s="617"/>
      <c r="L12" s="617"/>
      <c r="M12" s="617"/>
    </row>
    <row r="13" spans="1:14">
      <c r="A13" s="312">
        <v>6</v>
      </c>
      <c r="B13" s="314" t="s">
        <v>386</v>
      </c>
      <c r="C13" s="315">
        <v>49873510.596900001</v>
      </c>
      <c r="D13" s="315">
        <v>1382153.0692999999</v>
      </c>
      <c r="E13" s="315">
        <v>876929.5</v>
      </c>
      <c r="F13" s="315"/>
      <c r="G13" s="494">
        <v>26066296.583100002</v>
      </c>
      <c r="I13" s="617"/>
      <c r="J13" s="617"/>
      <c r="K13" s="617"/>
      <c r="L13" s="617"/>
      <c r="M13" s="617"/>
    </row>
    <row r="14" spans="1:14">
      <c r="A14" s="312">
        <v>7</v>
      </c>
      <c r="B14" s="313" t="s">
        <v>387</v>
      </c>
      <c r="C14" s="315">
        <f t="shared" ref="C14:F14" si="1">SUM(C15:C16)</f>
        <v>265785040.95489997</v>
      </c>
      <c r="D14" s="315">
        <f t="shared" si="1"/>
        <v>280975030.35300004</v>
      </c>
      <c r="E14" s="315">
        <f t="shared" si="1"/>
        <v>84825263.826199993</v>
      </c>
      <c r="F14" s="315">
        <f t="shared" si="1"/>
        <v>0</v>
      </c>
      <c r="G14" s="494">
        <f>SUM(G15:G16)</f>
        <v>311326730.33875</v>
      </c>
      <c r="I14" s="617"/>
      <c r="J14" s="617"/>
      <c r="K14" s="617"/>
      <c r="L14" s="617"/>
      <c r="M14" s="617"/>
    </row>
    <row r="15" spans="1:14" ht="39">
      <c r="A15" s="312">
        <v>8</v>
      </c>
      <c r="B15" s="314" t="s">
        <v>388</v>
      </c>
      <c r="C15" s="315">
        <v>262670866.49829996</v>
      </c>
      <c r="D15" s="315">
        <v>275157330.35300004</v>
      </c>
      <c r="E15" s="315">
        <v>79909852.126199991</v>
      </c>
      <c r="F15" s="315"/>
      <c r="G15" s="494">
        <v>308869024.48874998</v>
      </c>
      <c r="I15" s="617"/>
      <c r="J15" s="617"/>
      <c r="K15" s="617"/>
      <c r="L15" s="617"/>
      <c r="M15" s="617"/>
    </row>
    <row r="16" spans="1:14" ht="26.25">
      <c r="A16" s="312">
        <v>9</v>
      </c>
      <c r="B16" s="314" t="s">
        <v>389</v>
      </c>
      <c r="C16" s="315">
        <v>3114174.4566000002</v>
      </c>
      <c r="D16" s="315">
        <v>5817700</v>
      </c>
      <c r="E16" s="315">
        <v>4915411.7</v>
      </c>
      <c r="F16" s="315"/>
      <c r="G16" s="494">
        <v>2457705.85</v>
      </c>
      <c r="I16" s="617"/>
      <c r="J16" s="617"/>
      <c r="K16" s="617"/>
      <c r="L16" s="617"/>
      <c r="M16" s="617"/>
    </row>
    <row r="17" spans="1:13">
      <c r="A17" s="312">
        <v>10</v>
      </c>
      <c r="B17" s="313" t="s">
        <v>390</v>
      </c>
      <c r="C17" s="315"/>
      <c r="D17" s="315"/>
      <c r="E17" s="315"/>
      <c r="F17" s="315"/>
      <c r="G17" s="494"/>
      <c r="I17" s="617"/>
      <c r="J17" s="617"/>
      <c r="K17" s="617"/>
      <c r="L17" s="617"/>
      <c r="M17" s="617"/>
    </row>
    <row r="18" spans="1:13">
      <c r="A18" s="312">
        <v>11</v>
      </c>
      <c r="B18" s="313" t="s">
        <v>391</v>
      </c>
      <c r="C18" s="315">
        <f>SUM(C19:C20)</f>
        <v>0</v>
      </c>
      <c r="D18" s="315">
        <f t="shared" ref="D18:G18" si="2">SUM(D19:D20)</f>
        <v>19288206.417754769</v>
      </c>
      <c r="E18" s="315">
        <f t="shared" si="2"/>
        <v>4176380.9803199321</v>
      </c>
      <c r="F18" s="315">
        <f t="shared" si="2"/>
        <v>2060137.5334540308</v>
      </c>
      <c r="G18" s="494">
        <f t="shared" si="2"/>
        <v>0</v>
      </c>
      <c r="I18" s="617"/>
      <c r="J18" s="617"/>
      <c r="K18" s="617"/>
      <c r="L18" s="617"/>
      <c r="M18" s="617"/>
    </row>
    <row r="19" spans="1:13">
      <c r="A19" s="312">
        <v>12</v>
      </c>
      <c r="B19" s="314" t="s">
        <v>392</v>
      </c>
      <c r="C19" s="532"/>
      <c r="D19" s="315">
        <v>0</v>
      </c>
      <c r="E19" s="315">
        <v>0</v>
      </c>
      <c r="F19" s="315"/>
      <c r="G19" s="494">
        <v>0</v>
      </c>
      <c r="I19" s="617"/>
      <c r="J19" s="617"/>
      <c r="K19" s="617"/>
      <c r="L19" s="617"/>
      <c r="M19" s="617"/>
    </row>
    <row r="20" spans="1:13">
      <c r="A20" s="312">
        <v>13</v>
      </c>
      <c r="B20" s="314" t="s">
        <v>393</v>
      </c>
      <c r="C20" s="315">
        <v>0</v>
      </c>
      <c r="D20" s="315">
        <v>19288206.417754769</v>
      </c>
      <c r="E20" s="315">
        <v>4176380.9803199321</v>
      </c>
      <c r="F20" s="315">
        <v>2060137.5334540308</v>
      </c>
      <c r="G20" s="494">
        <v>0</v>
      </c>
      <c r="I20" s="617"/>
      <c r="J20" s="617"/>
      <c r="K20" s="617"/>
      <c r="L20" s="617"/>
      <c r="M20" s="617"/>
    </row>
    <row r="21" spans="1:13">
      <c r="A21" s="316">
        <v>14</v>
      </c>
      <c r="B21" s="317" t="s">
        <v>394</v>
      </c>
      <c r="C21" s="532"/>
      <c r="D21" s="532"/>
      <c r="E21" s="532"/>
      <c r="F21" s="532"/>
      <c r="G21" s="531">
        <f>SUM(G8,G11,G14,G17,G18)</f>
        <v>1220747487.9431939</v>
      </c>
      <c r="I21" s="617"/>
      <c r="J21" s="617"/>
      <c r="K21" s="617"/>
      <c r="L21" s="617"/>
      <c r="M21" s="617"/>
    </row>
    <row r="22" spans="1:13">
      <c r="A22" s="318"/>
      <c r="B22" s="319" t="s">
        <v>395</v>
      </c>
      <c r="C22" s="605"/>
      <c r="D22" s="605"/>
      <c r="E22" s="605"/>
      <c r="F22" s="605"/>
      <c r="G22" s="530"/>
      <c r="I22" s="617"/>
      <c r="J22" s="617"/>
      <c r="K22" s="617"/>
      <c r="L22" s="617"/>
      <c r="M22" s="617"/>
    </row>
    <row r="23" spans="1:13">
      <c r="A23" s="312">
        <v>15</v>
      </c>
      <c r="B23" s="313" t="s">
        <v>396</v>
      </c>
      <c r="C23" s="320">
        <v>685024727.51026368</v>
      </c>
      <c r="D23" s="320">
        <v>0</v>
      </c>
      <c r="E23" s="320">
        <v>0</v>
      </c>
      <c r="F23" s="320"/>
      <c r="G23" s="494">
        <v>20363633.533848256</v>
      </c>
      <c r="I23" s="617"/>
      <c r="J23" s="617"/>
      <c r="K23" s="617"/>
      <c r="L23" s="617"/>
      <c r="M23" s="617"/>
    </row>
    <row r="24" spans="1:13">
      <c r="A24" s="312">
        <v>16</v>
      </c>
      <c r="B24" s="313" t="s">
        <v>397</v>
      </c>
      <c r="C24" s="315">
        <f>SUM(C25:C27,C29,C31)</f>
        <v>22789606.207143344</v>
      </c>
      <c r="D24" s="315">
        <f t="shared" ref="D24:G24" si="3">SUM(D25:D27,D29,D31)</f>
        <v>158564589.03995743</v>
      </c>
      <c r="E24" s="315">
        <f t="shared" si="3"/>
        <v>178583510.88700196</v>
      </c>
      <c r="F24" s="315">
        <f t="shared" si="3"/>
        <v>281948358.88350648</v>
      </c>
      <c r="G24" s="494">
        <f t="shared" si="3"/>
        <v>411648595.94553167</v>
      </c>
      <c r="I24" s="617"/>
      <c r="J24" s="617"/>
      <c r="K24" s="617"/>
      <c r="L24" s="617"/>
      <c r="M24" s="617"/>
    </row>
    <row r="25" spans="1:13">
      <c r="A25" s="312">
        <v>17</v>
      </c>
      <c r="B25" s="314" t="s">
        <v>398</v>
      </c>
      <c r="C25" s="315"/>
      <c r="D25" s="315">
        <v>0</v>
      </c>
      <c r="E25" s="315"/>
      <c r="F25" s="315"/>
      <c r="G25" s="494"/>
      <c r="I25" s="617"/>
      <c r="J25" s="617"/>
      <c r="K25" s="617"/>
      <c r="L25" s="617"/>
      <c r="M25" s="617"/>
    </row>
    <row r="26" spans="1:13" ht="26.25">
      <c r="A26" s="312">
        <v>18</v>
      </c>
      <c r="B26" s="314" t="s">
        <v>399</v>
      </c>
      <c r="C26" s="315">
        <v>22789606.207143344</v>
      </c>
      <c r="D26" s="315">
        <v>0</v>
      </c>
      <c r="E26" s="315">
        <v>0</v>
      </c>
      <c r="F26" s="315">
        <v>0</v>
      </c>
      <c r="G26" s="494">
        <v>3418440.9310715017</v>
      </c>
      <c r="I26" s="617"/>
      <c r="J26" s="617"/>
      <c r="K26" s="617"/>
      <c r="L26" s="617"/>
      <c r="M26" s="617"/>
    </row>
    <row r="27" spans="1:13">
      <c r="A27" s="312">
        <v>19</v>
      </c>
      <c r="B27" s="314" t="s">
        <v>400</v>
      </c>
      <c r="C27" s="315"/>
      <c r="D27" s="315">
        <v>154544610.20098296</v>
      </c>
      <c r="E27" s="315">
        <v>167468870.04855382</v>
      </c>
      <c r="F27" s="315">
        <v>246178501.87743375</v>
      </c>
      <c r="G27" s="494">
        <v>370258466.72058702</v>
      </c>
      <c r="I27" s="617"/>
      <c r="J27" s="617"/>
      <c r="K27" s="617"/>
      <c r="L27" s="617"/>
      <c r="M27" s="617"/>
    </row>
    <row r="28" spans="1:13">
      <c r="A28" s="312">
        <v>20</v>
      </c>
      <c r="B28" s="321" t="s">
        <v>401</v>
      </c>
      <c r="C28" s="315"/>
      <c r="D28" s="315"/>
      <c r="E28" s="315"/>
      <c r="F28" s="315"/>
      <c r="G28" s="494"/>
      <c r="I28" s="617"/>
      <c r="J28" s="617"/>
      <c r="K28" s="617"/>
      <c r="L28" s="617"/>
      <c r="M28" s="617"/>
    </row>
    <row r="29" spans="1:13">
      <c r="A29" s="312">
        <v>21</v>
      </c>
      <c r="B29" s="314" t="s">
        <v>402</v>
      </c>
      <c r="C29" s="315"/>
      <c r="D29" s="315">
        <v>2948459.7889744607</v>
      </c>
      <c r="E29" s="315">
        <v>11114640.838448124</v>
      </c>
      <c r="F29" s="315">
        <v>28811204.115326323</v>
      </c>
      <c r="G29" s="494">
        <v>31521073.811738666</v>
      </c>
      <c r="I29" s="617"/>
      <c r="J29" s="617"/>
      <c r="K29" s="617"/>
      <c r="L29" s="617"/>
      <c r="M29" s="617"/>
    </row>
    <row r="30" spans="1:13">
      <c r="A30" s="312">
        <v>22</v>
      </c>
      <c r="B30" s="321" t="s">
        <v>401</v>
      </c>
      <c r="C30" s="315"/>
      <c r="D30" s="315"/>
      <c r="E30" s="315"/>
      <c r="F30" s="315"/>
      <c r="G30" s="494"/>
      <c r="I30" s="617"/>
      <c r="J30" s="617"/>
      <c r="K30" s="617"/>
      <c r="L30" s="617"/>
      <c r="M30" s="617"/>
    </row>
    <row r="31" spans="1:13">
      <c r="A31" s="312">
        <v>23</v>
      </c>
      <c r="B31" s="314" t="s">
        <v>403</v>
      </c>
      <c r="C31" s="315"/>
      <c r="D31" s="315">
        <v>1071519.05</v>
      </c>
      <c r="E31" s="315">
        <v>0</v>
      </c>
      <c r="F31" s="315">
        <v>6958652.890746423</v>
      </c>
      <c r="G31" s="494">
        <v>6450614.4821344595</v>
      </c>
      <c r="I31" s="617"/>
      <c r="J31" s="617"/>
      <c r="K31" s="617"/>
      <c r="L31" s="617"/>
      <c r="M31" s="617"/>
    </row>
    <row r="32" spans="1:13">
      <c r="A32" s="312">
        <v>24</v>
      </c>
      <c r="B32" s="313" t="s">
        <v>404</v>
      </c>
      <c r="C32" s="315"/>
      <c r="D32" s="315"/>
      <c r="E32" s="315"/>
      <c r="F32" s="315"/>
      <c r="G32" s="494"/>
      <c r="I32" s="617"/>
      <c r="J32" s="617"/>
      <c r="K32" s="617"/>
      <c r="L32" s="617"/>
      <c r="M32" s="617"/>
    </row>
    <row r="33" spans="1:13">
      <c r="A33" s="312">
        <v>25</v>
      </c>
      <c r="B33" s="313" t="s">
        <v>405</v>
      </c>
      <c r="C33" s="315">
        <f>SUM(C34:C35)</f>
        <v>0</v>
      </c>
      <c r="D33" s="315">
        <f>SUM(D34:D35)</f>
        <v>116930890.35579219</v>
      </c>
      <c r="E33" s="315">
        <f>SUM(E34:E35)</f>
        <v>39065893.407265365</v>
      </c>
      <c r="F33" s="315">
        <f>SUM(F34:F35)</f>
        <v>126498863.76778215</v>
      </c>
      <c r="G33" s="494">
        <f>SUM(G34:G35)</f>
        <v>260763672.7091679</v>
      </c>
      <c r="I33" s="617"/>
      <c r="J33" s="617"/>
      <c r="K33" s="617"/>
      <c r="L33" s="617"/>
      <c r="M33" s="617"/>
    </row>
    <row r="34" spans="1:13">
      <c r="A34" s="312">
        <v>26</v>
      </c>
      <c r="B34" s="314" t="s">
        <v>406</v>
      </c>
      <c r="C34" s="532"/>
      <c r="D34" s="315"/>
      <c r="E34" s="315"/>
      <c r="F34" s="315"/>
      <c r="G34" s="494"/>
      <c r="I34" s="617"/>
      <c r="J34" s="617"/>
      <c r="K34" s="617"/>
      <c r="L34" s="617"/>
      <c r="M34" s="617"/>
    </row>
    <row r="35" spans="1:13">
      <c r="A35" s="312">
        <v>27</v>
      </c>
      <c r="B35" s="314" t="s">
        <v>407</v>
      </c>
      <c r="C35" s="315"/>
      <c r="D35" s="315">
        <v>116930890.35579219</v>
      </c>
      <c r="E35" s="315">
        <v>39065893.407265365</v>
      </c>
      <c r="F35" s="315">
        <v>126498863.76778215</v>
      </c>
      <c r="G35" s="494">
        <v>260763672.7091679</v>
      </c>
      <c r="I35" s="617"/>
      <c r="J35" s="617"/>
      <c r="K35" s="617"/>
      <c r="L35" s="617"/>
      <c r="M35" s="617"/>
    </row>
    <row r="36" spans="1:13">
      <c r="A36" s="312">
        <v>28</v>
      </c>
      <c r="B36" s="313" t="s">
        <v>408</v>
      </c>
      <c r="C36" s="315"/>
      <c r="D36" s="315">
        <v>42432535.098418653</v>
      </c>
      <c r="E36" s="315">
        <v>7712965.2438016497</v>
      </c>
      <c r="F36" s="315">
        <v>35694783.931164354</v>
      </c>
      <c r="G36" s="494">
        <v>9317647.2919914667</v>
      </c>
      <c r="I36" s="617"/>
      <c r="J36" s="617"/>
      <c r="K36" s="617"/>
      <c r="L36" s="617"/>
      <c r="M36" s="617"/>
    </row>
    <row r="37" spans="1:13">
      <c r="A37" s="316">
        <v>29</v>
      </c>
      <c r="B37" s="317" t="s">
        <v>409</v>
      </c>
      <c r="C37" s="532"/>
      <c r="D37" s="532"/>
      <c r="E37" s="532"/>
      <c r="F37" s="532"/>
      <c r="G37" s="531">
        <f>SUM(G23:G24,G32:G33,G36)</f>
        <v>702093549.48053932</v>
      </c>
      <c r="I37" s="617"/>
      <c r="J37" s="617"/>
      <c r="K37" s="617"/>
      <c r="L37" s="617"/>
      <c r="M37" s="617"/>
    </row>
    <row r="38" spans="1:13">
      <c r="A38" s="308"/>
      <c r="B38" s="322"/>
      <c r="C38" s="203"/>
      <c r="D38" s="203"/>
      <c r="E38" s="203"/>
      <c r="F38" s="203"/>
      <c r="G38" s="529"/>
      <c r="I38" s="617"/>
      <c r="J38" s="617"/>
      <c r="K38" s="617"/>
      <c r="L38" s="617"/>
      <c r="M38" s="617"/>
    </row>
    <row r="39" spans="1:13" ht="15.75" thickBot="1">
      <c r="A39" s="323">
        <v>30</v>
      </c>
      <c r="B39" s="324" t="s">
        <v>410</v>
      </c>
      <c r="C39" s="528"/>
      <c r="D39" s="527"/>
      <c r="E39" s="527"/>
      <c r="F39" s="526"/>
      <c r="G39" s="525">
        <f>IFERROR(G21/G37,0)</f>
        <v>1.7387248306815994</v>
      </c>
      <c r="I39" s="617"/>
      <c r="J39" s="617"/>
      <c r="K39" s="617"/>
      <c r="L39" s="617"/>
      <c r="M39" s="617"/>
    </row>
    <row r="42" spans="1:13" ht="39">
      <c r="B42" s="160"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3"/>
  <sheetViews>
    <sheetView zoomScaleNormal="10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3" bestFit="1" customWidth="1"/>
    <col min="2" max="2" width="86" style="3" customWidth="1"/>
    <col min="3" max="3" width="13.42578125" style="3" bestFit="1" customWidth="1"/>
    <col min="4" max="7" width="13.42578125" style="4" bestFit="1" customWidth="1"/>
    <col min="8" max="8" width="6.7109375" style="5" customWidth="1"/>
    <col min="9" max="12" width="13.42578125" style="5" bestFit="1" customWidth="1"/>
    <col min="13" max="13" width="6.7109375" style="5" customWidth="1"/>
    <col min="14" max="16384" width="9.140625" style="5"/>
  </cols>
  <sheetData>
    <row r="1" spans="1:22">
      <c r="A1" s="2" t="s">
        <v>30</v>
      </c>
      <c r="B1" s="3" t="str">
        <f>'Info '!C2</f>
        <v>JSC Cartu Bank</v>
      </c>
    </row>
    <row r="2" spans="1:22">
      <c r="A2" s="2" t="s">
        <v>31</v>
      </c>
      <c r="B2" s="663">
        <v>45107</v>
      </c>
    </row>
    <row r="3" spans="1:22" ht="15" thickBot="1">
      <c r="A3" s="2"/>
    </row>
    <row r="4" spans="1:22" ht="15" customHeight="1" thickBot="1">
      <c r="A4" s="6" t="s">
        <v>93</v>
      </c>
      <c r="B4" s="7" t="s">
        <v>92</v>
      </c>
      <c r="C4" s="7"/>
      <c r="D4" s="682" t="s">
        <v>700</v>
      </c>
      <c r="E4" s="683"/>
      <c r="F4" s="683"/>
      <c r="G4" s="684"/>
      <c r="I4" s="685" t="s">
        <v>701</v>
      </c>
      <c r="J4" s="686"/>
      <c r="K4" s="686"/>
      <c r="L4" s="687"/>
    </row>
    <row r="5" spans="1:22">
      <c r="A5" s="8" t="s">
        <v>6</v>
      </c>
      <c r="B5" s="9"/>
      <c r="C5" s="664" t="str">
        <f>INT((MONTH($B$2))/3)&amp;"Q"&amp;"-"&amp;YEAR($B$2)</f>
        <v>2Q-2023</v>
      </c>
      <c r="D5" s="664" t="str">
        <f>IF(INT(MONTH($B$2))=3, "4"&amp;"Q"&amp;"-"&amp;YEAR($B$2)-1, IF(INT(MONTH($B$2))=6, "1"&amp;"Q"&amp;"-"&amp;YEAR($B$2), IF(INT(MONTH($B$2))=9, "2"&amp;"Q"&amp;"-"&amp;YEAR($B$2),IF(INT(MONTH($B$2))=12, "3"&amp;"Q"&amp;"-"&amp;YEAR($B$2), 0))))</f>
        <v>1Q-2023</v>
      </c>
      <c r="E5" s="664" t="str">
        <f>IF(INT(MONTH($B$2))=3, "3"&amp;"Q"&amp;"-"&amp;YEAR($B$2)-1, IF(INT(MONTH($B$2))=6, "4"&amp;"Q"&amp;"-"&amp;YEAR($B$2)-1, IF(INT(MONTH($B$2))=9, "1"&amp;"Q"&amp;"-"&amp;YEAR($B$2),IF(INT(MONTH($B$2))=12, "2"&amp;"Q"&amp;"-"&amp;YEAR($B$2), 0))))</f>
        <v>4Q-2022</v>
      </c>
      <c r="F5" s="664" t="str">
        <f>IF(INT(MONTH($B$2))=3, "2"&amp;"Q"&amp;"-"&amp;YEAR($B$2)-1, IF(INT(MONTH($B$2))=6, "3"&amp;"Q"&amp;"-"&amp;YEAR($B$2)-1, IF(INT(MONTH($B$2))=9, "4"&amp;"Q"&amp;"-"&amp;YEAR($B$2)-1,IF(INT(MONTH($B$2))=12, "1"&amp;"Q"&amp;"-"&amp;YEAR($B$2), 0))))</f>
        <v>3Q-2022</v>
      </c>
      <c r="G5" s="665" t="str">
        <f>IF(INT(MONTH($B$2))=3, "1"&amp;"Q"&amp;"-"&amp;YEAR($B$2)-1, IF(INT(MONTH($B$2))=6, "2"&amp;"Q"&amp;"-"&amp;YEAR($B$2)-1, IF(INT(MONTH($B$2))=9, "3"&amp;"Q"&amp;"-"&amp;YEAR($B$2)-1,IF(INT(MONTH($B$2))=12, "4"&amp;"Q"&amp;"-"&amp;YEAR($B$2)-1, 0))))</f>
        <v>2Q-2022</v>
      </c>
      <c r="H5" s="666"/>
      <c r="I5" s="667" t="str">
        <f>D5</f>
        <v>1Q-2023</v>
      </c>
      <c r="J5" s="664" t="str">
        <f t="shared" ref="J5:L5" si="0">E5</f>
        <v>4Q-2022</v>
      </c>
      <c r="K5" s="664" t="str">
        <f t="shared" si="0"/>
        <v>3Q-2022</v>
      </c>
      <c r="L5" s="665" t="str">
        <f t="shared" si="0"/>
        <v>2Q-2022</v>
      </c>
    </row>
    <row r="6" spans="1:22">
      <c r="B6" s="136" t="s">
        <v>91</v>
      </c>
      <c r="C6" s="297"/>
      <c r="D6" s="297"/>
      <c r="E6" s="297"/>
      <c r="F6" s="297"/>
      <c r="G6" s="298"/>
      <c r="I6" s="480"/>
      <c r="J6" s="297"/>
      <c r="K6" s="297"/>
      <c r="L6" s="298"/>
    </row>
    <row r="7" spans="1:22">
      <c r="A7" s="10"/>
      <c r="B7" s="137" t="s">
        <v>89</v>
      </c>
      <c r="C7" s="297"/>
      <c r="D7" s="297"/>
      <c r="E7" s="297"/>
      <c r="F7" s="297"/>
      <c r="G7" s="298"/>
      <c r="I7" s="480"/>
      <c r="J7" s="297"/>
      <c r="K7" s="297"/>
      <c r="L7" s="298"/>
    </row>
    <row r="8" spans="1:22">
      <c r="A8" s="8">
        <v>1</v>
      </c>
      <c r="B8" s="11" t="s">
        <v>363</v>
      </c>
      <c r="C8" s="12">
        <v>363342214.73040265</v>
      </c>
      <c r="D8" s="13">
        <v>351924744.39058375</v>
      </c>
      <c r="E8" s="13">
        <v>346319799.38893533</v>
      </c>
      <c r="F8" s="13">
        <v>352123280.61130226</v>
      </c>
      <c r="G8" s="14">
        <v>341651988.36757332</v>
      </c>
      <c r="I8" s="481">
        <v>240011371</v>
      </c>
      <c r="J8" s="482">
        <v>234253424</v>
      </c>
      <c r="K8" s="482">
        <v>211365830</v>
      </c>
      <c r="L8" s="483">
        <v>204029629</v>
      </c>
      <c r="N8" s="612"/>
      <c r="O8" s="612"/>
      <c r="P8" s="612"/>
      <c r="Q8" s="612"/>
      <c r="R8" s="612"/>
      <c r="S8" s="612"/>
      <c r="T8" s="612"/>
      <c r="U8" s="612"/>
      <c r="V8" s="612"/>
    </row>
    <row r="9" spans="1:22">
      <c r="A9" s="8">
        <v>2</v>
      </c>
      <c r="B9" s="11" t="s">
        <v>364</v>
      </c>
      <c r="C9" s="12">
        <v>435938378.25768387</v>
      </c>
      <c r="D9" s="13">
        <v>422973807.91786498</v>
      </c>
      <c r="E9" s="13">
        <v>421192062.91621655</v>
      </c>
      <c r="F9" s="13">
        <v>430591944.13858348</v>
      </c>
      <c r="G9" s="14">
        <v>422650551.89485455</v>
      </c>
      <c r="I9" s="481">
        <v>309142171</v>
      </c>
      <c r="J9" s="482">
        <v>307207424</v>
      </c>
      <c r="K9" s="482">
        <v>287916230</v>
      </c>
      <c r="L9" s="483">
        <v>283109929</v>
      </c>
      <c r="N9" s="612"/>
      <c r="O9" s="612"/>
      <c r="P9" s="612"/>
      <c r="Q9" s="612"/>
      <c r="R9" s="612"/>
      <c r="S9" s="612"/>
      <c r="T9" s="612"/>
      <c r="U9" s="612"/>
      <c r="V9" s="612"/>
    </row>
    <row r="10" spans="1:22">
      <c r="A10" s="8">
        <v>3</v>
      </c>
      <c r="B10" s="11" t="s">
        <v>142</v>
      </c>
      <c r="C10" s="12">
        <v>461068298.25768387</v>
      </c>
      <c r="D10" s="13">
        <v>450114047.91786498</v>
      </c>
      <c r="E10" s="13">
        <v>449833262.91621655</v>
      </c>
      <c r="F10" s="13">
        <v>464614344.13858348</v>
      </c>
      <c r="G10" s="14">
        <v>457797351.89485455</v>
      </c>
      <c r="I10" s="481">
        <v>347655249</v>
      </c>
      <c r="J10" s="482">
        <v>346535560</v>
      </c>
      <c r="K10" s="482">
        <v>332079701</v>
      </c>
      <c r="L10" s="483">
        <v>328430263</v>
      </c>
      <c r="N10" s="612"/>
      <c r="O10" s="612"/>
      <c r="P10" s="612"/>
      <c r="Q10" s="612"/>
      <c r="R10" s="612"/>
      <c r="S10" s="612"/>
      <c r="T10" s="612"/>
      <c r="U10" s="612"/>
      <c r="V10" s="612"/>
    </row>
    <row r="11" spans="1:22">
      <c r="A11" s="8">
        <v>4</v>
      </c>
      <c r="B11" s="11" t="s">
        <v>366</v>
      </c>
      <c r="C11" s="12">
        <v>278139307.84550673</v>
      </c>
      <c r="D11" s="13">
        <v>270224472.10658425</v>
      </c>
      <c r="E11" s="13">
        <v>246196639.74129626</v>
      </c>
      <c r="F11" s="13">
        <v>266775386.91204667</v>
      </c>
      <c r="G11" s="14">
        <v>244629392.86366698</v>
      </c>
      <c r="I11" s="481">
        <v>164565335.80902001</v>
      </c>
      <c r="J11" s="482">
        <v>158652337.6268518</v>
      </c>
      <c r="K11" s="482">
        <v>155205238.53075585</v>
      </c>
      <c r="L11" s="483">
        <v>151883464.59065759</v>
      </c>
      <c r="N11" s="612"/>
      <c r="O11" s="612"/>
      <c r="P11" s="612"/>
      <c r="Q11" s="612"/>
      <c r="R11" s="612"/>
      <c r="S11" s="612"/>
      <c r="T11" s="612"/>
      <c r="U11" s="612"/>
      <c r="V11" s="612"/>
    </row>
    <row r="12" spans="1:22">
      <c r="A12" s="8">
        <v>5</v>
      </c>
      <c r="B12" s="11" t="s">
        <v>367</v>
      </c>
      <c r="C12" s="12">
        <v>327367338.29175586</v>
      </c>
      <c r="D12" s="13">
        <v>316851843.56204444</v>
      </c>
      <c r="E12" s="13">
        <v>289615242.44903541</v>
      </c>
      <c r="F12" s="13">
        <v>310449908.50440067</v>
      </c>
      <c r="G12" s="14">
        <v>287206774.66728365</v>
      </c>
      <c r="I12" s="481">
        <v>209321148.514007</v>
      </c>
      <c r="J12" s="482">
        <v>199902308.17390835</v>
      </c>
      <c r="K12" s="482">
        <v>195580136.10504207</v>
      </c>
      <c r="L12" s="483">
        <v>191304963.68665263</v>
      </c>
      <c r="N12" s="612"/>
      <c r="O12" s="612"/>
      <c r="P12" s="612"/>
      <c r="Q12" s="612"/>
      <c r="R12" s="612"/>
      <c r="S12" s="612"/>
      <c r="T12" s="612"/>
      <c r="U12" s="612"/>
      <c r="V12" s="612"/>
    </row>
    <row r="13" spans="1:22">
      <c r="A13" s="8">
        <v>6</v>
      </c>
      <c r="B13" s="11" t="s">
        <v>365</v>
      </c>
      <c r="C13" s="12">
        <v>392522284.5152328</v>
      </c>
      <c r="D13" s="13">
        <v>378565922.4661724</v>
      </c>
      <c r="E13" s="13">
        <v>368984106.43353105</v>
      </c>
      <c r="F13" s="13">
        <v>389834726.89171469</v>
      </c>
      <c r="G13" s="14">
        <v>363830560.01362234</v>
      </c>
      <c r="I13" s="481">
        <v>268543574.39806187</v>
      </c>
      <c r="J13" s="482">
        <v>276281547.86632597</v>
      </c>
      <c r="K13" s="482">
        <v>270125489.45250708</v>
      </c>
      <c r="L13" s="483">
        <v>263335691.15359637</v>
      </c>
      <c r="N13" s="612"/>
      <c r="O13" s="612"/>
      <c r="P13" s="612"/>
      <c r="Q13" s="612"/>
      <c r="R13" s="612"/>
      <c r="S13" s="612"/>
      <c r="T13" s="612"/>
      <c r="U13" s="612"/>
      <c r="V13" s="612"/>
    </row>
    <row r="14" spans="1:22">
      <c r="A14" s="10"/>
      <c r="B14" s="136" t="s">
        <v>369</v>
      </c>
      <c r="C14" s="297"/>
      <c r="D14" s="297"/>
      <c r="E14" s="297"/>
      <c r="F14" s="297"/>
      <c r="G14" s="298"/>
      <c r="I14" s="480"/>
      <c r="J14" s="297"/>
      <c r="K14" s="297"/>
      <c r="L14" s="298"/>
      <c r="N14" s="612"/>
      <c r="O14" s="612"/>
      <c r="P14" s="612"/>
      <c r="Q14" s="612"/>
      <c r="R14" s="612"/>
      <c r="S14" s="612"/>
      <c r="T14" s="612"/>
      <c r="U14" s="612"/>
      <c r="V14" s="612"/>
    </row>
    <row r="15" spans="1:22" ht="15" customHeight="1">
      <c r="A15" s="8">
        <v>7</v>
      </c>
      <c r="B15" s="11" t="s">
        <v>368</v>
      </c>
      <c r="C15" s="186">
        <v>1448643417.9665234</v>
      </c>
      <c r="D15" s="13">
        <v>1376642558.3850031</v>
      </c>
      <c r="E15" s="13">
        <v>1514338626.9687345</v>
      </c>
      <c r="F15" s="13">
        <v>1534536778.1050727</v>
      </c>
      <c r="G15" s="14">
        <v>1506062037.9420605</v>
      </c>
      <c r="I15" s="481">
        <v>1266154834.4736927</v>
      </c>
      <c r="J15" s="482">
        <v>1404709746.1948183</v>
      </c>
      <c r="K15" s="482">
        <v>1372073122.2972174</v>
      </c>
      <c r="L15" s="483">
        <v>1354126092.0266535</v>
      </c>
      <c r="N15" s="612"/>
      <c r="O15" s="612"/>
      <c r="P15" s="612"/>
      <c r="Q15" s="612"/>
      <c r="R15" s="612"/>
      <c r="S15" s="612"/>
      <c r="T15" s="612"/>
      <c r="U15" s="612"/>
      <c r="V15" s="612"/>
    </row>
    <row r="16" spans="1:22">
      <c r="A16" s="10"/>
      <c r="B16" s="136" t="s">
        <v>370</v>
      </c>
      <c r="C16" s="297"/>
      <c r="D16" s="297"/>
      <c r="E16" s="297"/>
      <c r="F16" s="297"/>
      <c r="G16" s="298"/>
      <c r="I16" s="480"/>
      <c r="J16" s="297"/>
      <c r="K16" s="297"/>
      <c r="L16" s="298"/>
      <c r="N16" s="612"/>
      <c r="O16" s="612"/>
      <c r="P16" s="612"/>
      <c r="Q16" s="612"/>
      <c r="R16" s="612"/>
      <c r="S16" s="612"/>
      <c r="T16" s="612"/>
      <c r="U16" s="612"/>
      <c r="V16" s="612"/>
    </row>
    <row r="17" spans="1:22">
      <c r="A17" s="8"/>
      <c r="B17" s="137" t="s">
        <v>354</v>
      </c>
      <c r="C17" s="196"/>
      <c r="D17" s="196"/>
      <c r="E17" s="196"/>
      <c r="F17" s="196"/>
      <c r="G17" s="602"/>
      <c r="I17" s="601"/>
      <c r="J17" s="196"/>
      <c r="K17" s="196"/>
      <c r="L17" s="602"/>
      <c r="N17" s="612"/>
      <c r="O17" s="612"/>
      <c r="P17" s="612"/>
      <c r="Q17" s="612"/>
      <c r="R17" s="612"/>
      <c r="S17" s="612"/>
      <c r="T17" s="612"/>
      <c r="U17" s="612"/>
      <c r="V17" s="612"/>
    </row>
    <row r="18" spans="1:22">
      <c r="A18" s="8">
        <v>8</v>
      </c>
      <c r="B18" s="11" t="s">
        <v>363</v>
      </c>
      <c r="C18" s="591">
        <v>0.25081549415413085</v>
      </c>
      <c r="D18" s="590">
        <v>0.25563988433093437</v>
      </c>
      <c r="E18" s="590">
        <v>0.22869376321871077</v>
      </c>
      <c r="F18" s="590">
        <v>0.22946552056323</v>
      </c>
      <c r="G18" s="589">
        <v>0.22685120516975474</v>
      </c>
      <c r="I18" s="611">
        <v>0.1895592580505894</v>
      </c>
      <c r="J18" s="609">
        <v>0.16676286658832049</v>
      </c>
      <c r="K18" s="609">
        <v>0.15404851721467808</v>
      </c>
      <c r="L18" s="610">
        <v>0.15067254829617746</v>
      </c>
      <c r="N18" s="612"/>
      <c r="O18" s="612"/>
      <c r="P18" s="612"/>
      <c r="Q18" s="612"/>
      <c r="R18" s="612"/>
      <c r="S18" s="612"/>
      <c r="T18" s="612"/>
      <c r="U18" s="612"/>
      <c r="V18" s="612"/>
    </row>
    <row r="19" spans="1:22" ht="15" customHeight="1">
      <c r="A19" s="8">
        <v>9</v>
      </c>
      <c r="B19" s="11" t="s">
        <v>364</v>
      </c>
      <c r="C19" s="591">
        <v>0.30092869842988368</v>
      </c>
      <c r="D19" s="590">
        <v>0.30725027738069732</v>
      </c>
      <c r="E19" s="590">
        <v>0.27813598320431182</v>
      </c>
      <c r="F19" s="590">
        <v>0.28060060226793732</v>
      </c>
      <c r="G19" s="589">
        <v>0.28063289641931355</v>
      </c>
      <c r="I19" s="611">
        <v>0.24415826768019433</v>
      </c>
      <c r="J19" s="609">
        <v>0.21869815086866609</v>
      </c>
      <c r="K19" s="609">
        <v>0.20984029591509762</v>
      </c>
      <c r="L19" s="610">
        <v>0.20907205810965757</v>
      </c>
      <c r="N19" s="612"/>
      <c r="O19" s="612"/>
      <c r="P19" s="612"/>
      <c r="Q19" s="612"/>
      <c r="R19" s="612"/>
      <c r="S19" s="612"/>
      <c r="T19" s="612"/>
      <c r="U19" s="612"/>
      <c r="V19" s="612"/>
    </row>
    <row r="20" spans="1:22">
      <c r="A20" s="8">
        <v>10</v>
      </c>
      <c r="B20" s="11" t="s">
        <v>142</v>
      </c>
      <c r="C20" s="591">
        <v>0.31827590733466382</v>
      </c>
      <c r="D20" s="590">
        <v>0.32696508267615421</v>
      </c>
      <c r="E20" s="590">
        <v>0.29704932232802639</v>
      </c>
      <c r="F20" s="590">
        <v>0.30277172288585608</v>
      </c>
      <c r="G20" s="589">
        <v>0.30396978368859623</v>
      </c>
      <c r="I20" s="611">
        <v>0.27457562024356302</v>
      </c>
      <c r="J20" s="609">
        <v>0.24669549060844859</v>
      </c>
      <c r="K20" s="609">
        <v>0.24202769925556866</v>
      </c>
      <c r="L20" s="610">
        <v>0.24254038448402887</v>
      </c>
      <c r="N20" s="612"/>
      <c r="O20" s="612"/>
      <c r="P20" s="612"/>
      <c r="Q20" s="612"/>
      <c r="R20" s="612"/>
      <c r="S20" s="612"/>
      <c r="T20" s="612"/>
      <c r="U20" s="612"/>
      <c r="V20" s="612"/>
    </row>
    <row r="21" spans="1:22">
      <c r="A21" s="8">
        <v>11</v>
      </c>
      <c r="B21" s="11" t="s">
        <v>366</v>
      </c>
      <c r="C21" s="591">
        <v>0.19199984233244502</v>
      </c>
      <c r="D21" s="590">
        <v>0.19629240027534517</v>
      </c>
      <c r="E21" s="590">
        <v>0.16257700580094844</v>
      </c>
      <c r="F21" s="590">
        <v>0.17384750285455852</v>
      </c>
      <c r="G21" s="589">
        <v>0.16242982473546558</v>
      </c>
      <c r="I21" s="611">
        <v>0.12997252099694862</v>
      </c>
      <c r="J21" s="609">
        <v>0.11294314576845572</v>
      </c>
      <c r="K21" s="609">
        <v>0.11311732298268533</v>
      </c>
      <c r="L21" s="610">
        <v>0.11216345766097832</v>
      </c>
      <c r="N21" s="612"/>
      <c r="O21" s="612"/>
      <c r="P21" s="612"/>
      <c r="Q21" s="612"/>
      <c r="R21" s="612"/>
      <c r="S21" s="612"/>
      <c r="T21" s="612"/>
      <c r="U21" s="612"/>
      <c r="V21" s="612"/>
    </row>
    <row r="22" spans="1:22">
      <c r="A22" s="8">
        <v>12</v>
      </c>
      <c r="B22" s="11" t="s">
        <v>367</v>
      </c>
      <c r="C22" s="591">
        <v>0.22598200097528828</v>
      </c>
      <c r="D22" s="590">
        <v>0.23016275476312209</v>
      </c>
      <c r="E22" s="590">
        <v>0.19124866611159547</v>
      </c>
      <c r="F22" s="590">
        <v>0.20230854869947182</v>
      </c>
      <c r="G22" s="589">
        <v>0.19070049402462447</v>
      </c>
      <c r="I22" s="611">
        <v>0.16532034062091333</v>
      </c>
      <c r="J22" s="609">
        <v>0.14230862191667604</v>
      </c>
      <c r="K22" s="609">
        <v>0.14254352259126585</v>
      </c>
      <c r="L22" s="610">
        <v>0.14127559081321295</v>
      </c>
      <c r="N22" s="612"/>
      <c r="O22" s="612"/>
      <c r="P22" s="612"/>
      <c r="Q22" s="612"/>
      <c r="R22" s="612"/>
      <c r="S22" s="612"/>
      <c r="T22" s="612"/>
      <c r="U22" s="612"/>
      <c r="V22" s="612"/>
    </row>
    <row r="23" spans="1:22">
      <c r="A23" s="8">
        <v>13</v>
      </c>
      <c r="B23" s="11" t="s">
        <v>365</v>
      </c>
      <c r="C23" s="591">
        <v>0.27095852550534527</v>
      </c>
      <c r="D23" s="590">
        <v>0.2749921685628286</v>
      </c>
      <c r="E23" s="590">
        <v>0.24366023547331017</v>
      </c>
      <c r="F23" s="590">
        <v>0.25404065412697585</v>
      </c>
      <c r="G23" s="589">
        <v>0.24157740574271033</v>
      </c>
      <c r="I23" s="611">
        <v>0.21209378749455107</v>
      </c>
      <c r="J23" s="609">
        <v>0.19668230295599348</v>
      </c>
      <c r="K23" s="609">
        <v>0.19687397490903746</v>
      </c>
      <c r="L23" s="610">
        <v>0.19446910646221643</v>
      </c>
      <c r="N23" s="612"/>
      <c r="O23" s="612"/>
      <c r="P23" s="612"/>
      <c r="Q23" s="612"/>
      <c r="R23" s="612"/>
      <c r="S23" s="612"/>
      <c r="T23" s="612"/>
      <c r="U23" s="612"/>
      <c r="V23" s="612"/>
    </row>
    <row r="24" spans="1:22">
      <c r="A24" s="10"/>
      <c r="B24" s="136" t="s">
        <v>88</v>
      </c>
      <c r="C24" s="593"/>
      <c r="D24" s="593"/>
      <c r="E24" s="593"/>
      <c r="F24" s="593"/>
      <c r="G24" s="592"/>
      <c r="I24" s="594"/>
      <c r="J24" s="593"/>
      <c r="K24" s="593"/>
      <c r="L24" s="592"/>
      <c r="N24" s="612"/>
      <c r="O24" s="612"/>
      <c r="P24" s="612"/>
      <c r="Q24" s="612"/>
      <c r="R24" s="612"/>
      <c r="S24" s="612"/>
      <c r="T24" s="612"/>
      <c r="U24" s="612"/>
      <c r="V24" s="612"/>
    </row>
    <row r="25" spans="1:22" ht="15" customHeight="1">
      <c r="A25" s="299">
        <v>14</v>
      </c>
      <c r="B25" s="11" t="s">
        <v>87</v>
      </c>
      <c r="C25" s="588">
        <v>5.8932561950689646E-2</v>
      </c>
      <c r="D25" s="587">
        <v>5.8149539023008859E-2</v>
      </c>
      <c r="E25" s="587">
        <v>5.4849393573913552E-2</v>
      </c>
      <c r="F25" s="587">
        <v>5.6646943076743075E-2</v>
      </c>
      <c r="G25" s="586">
        <v>5.895767735377893E-2</v>
      </c>
      <c r="I25" s="608">
        <v>5.8344300941532111E-2</v>
      </c>
      <c r="J25" s="606">
        <v>6.7127803190553309E-2</v>
      </c>
      <c r="K25" s="606">
        <v>6.4918111171587661E-2</v>
      </c>
      <c r="L25" s="607">
        <v>5.4130876345677141E-2</v>
      </c>
      <c r="N25" s="612"/>
      <c r="O25" s="612"/>
      <c r="P25" s="612"/>
      <c r="Q25" s="612"/>
      <c r="R25" s="612"/>
      <c r="S25" s="612"/>
      <c r="T25" s="612"/>
      <c r="U25" s="612"/>
      <c r="V25" s="612"/>
    </row>
    <row r="26" spans="1:22">
      <c r="A26" s="299">
        <v>15</v>
      </c>
      <c r="B26" s="11" t="s">
        <v>86</v>
      </c>
      <c r="C26" s="588">
        <v>1.8003214718788973E-2</v>
      </c>
      <c r="D26" s="587">
        <v>1.8289119555379745E-2</v>
      </c>
      <c r="E26" s="587">
        <v>1.8650235037441641E-2</v>
      </c>
      <c r="F26" s="587">
        <v>1.925835169750429E-2</v>
      </c>
      <c r="G26" s="586">
        <v>2.0088026264221272E-2</v>
      </c>
      <c r="I26" s="608">
        <v>1.9648524314682968E-2</v>
      </c>
      <c r="J26" s="606">
        <v>2.0175430517247989E-2</v>
      </c>
      <c r="K26" s="606">
        <v>2.0861073414529214E-2</v>
      </c>
      <c r="L26" s="607">
        <v>2.1765817945438849E-2</v>
      </c>
      <c r="N26" s="612"/>
      <c r="O26" s="612"/>
      <c r="P26" s="612"/>
      <c r="Q26" s="612"/>
      <c r="R26" s="612"/>
      <c r="S26" s="612"/>
      <c r="T26" s="612"/>
      <c r="U26" s="612"/>
      <c r="V26" s="612"/>
    </row>
    <row r="27" spans="1:22">
      <c r="A27" s="299">
        <v>16</v>
      </c>
      <c r="B27" s="11" t="s">
        <v>85</v>
      </c>
      <c r="C27" s="588">
        <v>3.2684822253998901E-2</v>
      </c>
      <c r="D27" s="587">
        <v>2.3143742698323987E-2</v>
      </c>
      <c r="E27" s="587">
        <v>1.9130372183343309E-2</v>
      </c>
      <c r="F27" s="587">
        <v>2.6545538976691457E-2</v>
      </c>
      <c r="G27" s="586">
        <v>2.5718670495437725E-2</v>
      </c>
      <c r="I27" s="608">
        <v>2.1419405112530474E-2</v>
      </c>
      <c r="J27" s="606">
        <v>3.2186540324067661E-2</v>
      </c>
      <c r="K27" s="606">
        <v>3.1068451808200979E-2</v>
      </c>
      <c r="L27" s="607">
        <v>1.8001206168453712E-2</v>
      </c>
      <c r="N27" s="612"/>
      <c r="O27" s="612"/>
      <c r="P27" s="612"/>
      <c r="Q27" s="612"/>
      <c r="R27" s="612"/>
      <c r="S27" s="612"/>
      <c r="T27" s="612"/>
      <c r="U27" s="612"/>
      <c r="V27" s="612"/>
    </row>
    <row r="28" spans="1:22">
      <c r="A28" s="299">
        <v>17</v>
      </c>
      <c r="B28" s="11" t="s">
        <v>84</v>
      </c>
      <c r="C28" s="588">
        <v>4.0929347231900677E-2</v>
      </c>
      <c r="D28" s="587">
        <v>3.986041946762911E-2</v>
      </c>
      <c r="E28" s="587">
        <v>3.6199158536471911E-2</v>
      </c>
      <c r="F28" s="587">
        <v>3.7388591379238785E-2</v>
      </c>
      <c r="G28" s="586">
        <v>3.8869651089557658E-2</v>
      </c>
      <c r="I28" s="608">
        <v>3.8695776626849143E-2</v>
      </c>
      <c r="J28" s="606">
        <v>4.6952372673305327E-2</v>
      </c>
      <c r="K28" s="606">
        <v>4.4057037757058444E-2</v>
      </c>
      <c r="L28" s="607">
        <v>3.2365058400238296E-2</v>
      </c>
      <c r="N28" s="612"/>
      <c r="O28" s="612"/>
      <c r="P28" s="612"/>
      <c r="Q28" s="612"/>
      <c r="R28" s="612"/>
      <c r="S28" s="612"/>
      <c r="T28" s="612"/>
      <c r="U28" s="612"/>
      <c r="V28" s="612"/>
    </row>
    <row r="29" spans="1:22">
      <c r="A29" s="299">
        <v>18</v>
      </c>
      <c r="B29" s="11" t="s">
        <v>166</v>
      </c>
      <c r="C29" s="588">
        <v>2.2260717933284234E-2</v>
      </c>
      <c r="D29" s="587">
        <v>1.4178562416389427E-2</v>
      </c>
      <c r="E29" s="587">
        <v>1.6924460181492917E-2</v>
      </c>
      <c r="F29" s="587">
        <v>2.6000881847206815E-2</v>
      </c>
      <c r="G29" s="586">
        <v>2.672328615068981E-2</v>
      </c>
      <c r="I29" s="608">
        <v>1.5744219880457044E-2</v>
      </c>
      <c r="J29" s="606">
        <v>3.2311122762428368E-2</v>
      </c>
      <c r="K29" s="606">
        <v>2.01761673614121E-2</v>
      </c>
      <c r="L29" s="607">
        <v>2.1041192230812078E-2</v>
      </c>
      <c r="N29" s="612"/>
      <c r="O29" s="612"/>
      <c r="P29" s="612"/>
      <c r="Q29" s="612"/>
      <c r="R29" s="612"/>
      <c r="S29" s="612"/>
      <c r="T29" s="612"/>
      <c r="U29" s="612"/>
      <c r="V29" s="612"/>
    </row>
    <row r="30" spans="1:22">
      <c r="A30" s="299">
        <v>19</v>
      </c>
      <c r="B30" s="11" t="s">
        <v>167</v>
      </c>
      <c r="C30" s="588">
        <v>8.8726767329609685E-2</v>
      </c>
      <c r="D30" s="587">
        <v>5.6528214604398587E-2</v>
      </c>
      <c r="E30" s="587">
        <v>7.2279527082719397E-2</v>
      </c>
      <c r="F30" s="587">
        <v>0.11093669439256565</v>
      </c>
      <c r="G30" s="586">
        <v>0.11286788760054721</v>
      </c>
      <c r="I30" s="608">
        <v>9.1224069970424954E-2</v>
      </c>
      <c r="J30" s="606">
        <v>0.22314470762077446</v>
      </c>
      <c r="K30" s="606">
        <v>0.14146436938566304</v>
      </c>
      <c r="L30" s="607">
        <v>0.14662297148583683</v>
      </c>
      <c r="N30" s="612"/>
      <c r="O30" s="612"/>
      <c r="P30" s="612"/>
      <c r="Q30" s="612"/>
      <c r="R30" s="612"/>
      <c r="S30" s="612"/>
      <c r="T30" s="612"/>
      <c r="U30" s="612"/>
      <c r="V30" s="612"/>
    </row>
    <row r="31" spans="1:22">
      <c r="A31" s="10"/>
      <c r="B31" s="136" t="s">
        <v>229</v>
      </c>
      <c r="C31" s="593"/>
      <c r="D31" s="593"/>
      <c r="E31" s="593"/>
      <c r="F31" s="593"/>
      <c r="G31" s="592"/>
      <c r="I31" s="594"/>
      <c r="J31" s="593"/>
      <c r="K31" s="593"/>
      <c r="L31" s="592"/>
      <c r="N31" s="612"/>
      <c r="O31" s="612"/>
      <c r="P31" s="612"/>
      <c r="Q31" s="612"/>
      <c r="R31" s="612"/>
      <c r="S31" s="612"/>
      <c r="T31" s="612"/>
      <c r="U31" s="612"/>
      <c r="V31" s="612"/>
    </row>
    <row r="32" spans="1:22">
      <c r="A32" s="299">
        <v>20</v>
      </c>
      <c r="B32" s="11" t="s">
        <v>83</v>
      </c>
      <c r="C32" s="588">
        <v>0.19351802003762955</v>
      </c>
      <c r="D32" s="587">
        <v>0.20329057550136437</v>
      </c>
      <c r="E32" s="587">
        <v>0.23982248959285699</v>
      </c>
      <c r="F32" s="587">
        <v>0.2931739060912536</v>
      </c>
      <c r="G32" s="586">
        <v>0.34736245543761068</v>
      </c>
      <c r="I32" s="608">
        <v>0.20336434312366292</v>
      </c>
      <c r="J32" s="606">
        <v>0.23788998918784013</v>
      </c>
      <c r="K32" s="606">
        <v>0.28027183471466433</v>
      </c>
      <c r="L32" s="607">
        <v>0.30309246452686134</v>
      </c>
      <c r="N32" s="612"/>
      <c r="O32" s="612"/>
      <c r="P32" s="612"/>
      <c r="Q32" s="612"/>
      <c r="R32" s="612"/>
      <c r="S32" s="612"/>
      <c r="T32" s="612"/>
      <c r="U32" s="612"/>
      <c r="V32" s="612"/>
    </row>
    <row r="33" spans="1:22" ht="15" customHeight="1">
      <c r="A33" s="299">
        <v>21</v>
      </c>
      <c r="B33" s="11" t="s">
        <v>712</v>
      </c>
      <c r="C33" s="588">
        <v>7.2508202025997864E-2</v>
      </c>
      <c r="D33" s="587">
        <v>6.7863902049932825E-2</v>
      </c>
      <c r="E33" s="587">
        <v>8.5688086781886302E-2</v>
      </c>
      <c r="F33" s="587">
        <v>0.10105968474692002</v>
      </c>
      <c r="G33" s="586">
        <v>0.1292828809572569</v>
      </c>
      <c r="I33" s="608">
        <v>0.12278950833540915</v>
      </c>
      <c r="J33" s="606">
        <v>0.14507380832078276</v>
      </c>
      <c r="K33" s="606">
        <v>0.15734224271039851</v>
      </c>
      <c r="L33" s="607">
        <v>0.16382420903175393</v>
      </c>
      <c r="N33" s="612"/>
      <c r="O33" s="612"/>
      <c r="P33" s="612"/>
      <c r="Q33" s="612"/>
      <c r="R33" s="612"/>
      <c r="S33" s="612"/>
      <c r="T33" s="612"/>
      <c r="U33" s="612"/>
      <c r="V33" s="612"/>
    </row>
    <row r="34" spans="1:22">
      <c r="A34" s="299">
        <v>22</v>
      </c>
      <c r="B34" s="11" t="s">
        <v>82</v>
      </c>
      <c r="C34" s="588">
        <v>0.60732555354873607</v>
      </c>
      <c r="D34" s="587">
        <v>0.59281887667874811</v>
      </c>
      <c r="E34" s="587">
        <v>0.60640154624748743</v>
      </c>
      <c r="F34" s="587">
        <v>0.60109223881757057</v>
      </c>
      <c r="G34" s="586">
        <v>0.5939045589342592</v>
      </c>
      <c r="I34" s="608">
        <v>0.61416113118279181</v>
      </c>
      <c r="J34" s="606">
        <v>0.62389313246499012</v>
      </c>
      <c r="K34" s="606">
        <v>0.6154047107117504</v>
      </c>
      <c r="L34" s="607">
        <v>0.61064724275037874</v>
      </c>
      <c r="N34" s="612"/>
      <c r="O34" s="612"/>
      <c r="P34" s="612"/>
      <c r="Q34" s="612"/>
      <c r="R34" s="612"/>
      <c r="S34" s="612"/>
      <c r="T34" s="612"/>
      <c r="U34" s="612"/>
      <c r="V34" s="612"/>
    </row>
    <row r="35" spans="1:22" ht="15" customHeight="1">
      <c r="A35" s="299">
        <v>23</v>
      </c>
      <c r="B35" s="11" t="s">
        <v>81</v>
      </c>
      <c r="C35" s="588">
        <v>0.6665049155040712</v>
      </c>
      <c r="D35" s="587">
        <v>0.64427341412099282</v>
      </c>
      <c r="E35" s="587">
        <v>0.66524747027882758</v>
      </c>
      <c r="F35" s="587">
        <v>0.67173309347617005</v>
      </c>
      <c r="G35" s="586">
        <v>0.67015031668955782</v>
      </c>
      <c r="I35" s="608">
        <v>0.66346567239256027</v>
      </c>
      <c r="J35" s="606">
        <v>0.68241262287720073</v>
      </c>
      <c r="K35" s="606">
        <v>0.7027753056832502</v>
      </c>
      <c r="L35" s="607">
        <v>0.70108379089626094</v>
      </c>
      <c r="N35" s="612"/>
      <c r="O35" s="612"/>
      <c r="P35" s="612"/>
      <c r="Q35" s="612"/>
      <c r="R35" s="612"/>
      <c r="S35" s="612"/>
      <c r="T35" s="612"/>
      <c r="U35" s="612"/>
      <c r="V35" s="612"/>
    </row>
    <row r="36" spans="1:22">
      <c r="A36" s="299">
        <v>24</v>
      </c>
      <c r="B36" s="11" t="s">
        <v>80</v>
      </c>
      <c r="C36" s="588">
        <v>-2.6987007565252063E-3</v>
      </c>
      <c r="D36" s="587">
        <v>-2.7698661162601151E-2</v>
      </c>
      <c r="E36" s="587">
        <v>-0.23391426697125725</v>
      </c>
      <c r="F36" s="587">
        <v>-0.20081983079483973</v>
      </c>
      <c r="G36" s="586">
        <v>-0.12059390071571294</v>
      </c>
      <c r="I36" s="608">
        <v>-3.4220191261232005E-2</v>
      </c>
      <c r="J36" s="606">
        <v>-0.21229239061533456</v>
      </c>
      <c r="K36" s="606">
        <v>-0.18613862403146308</v>
      </c>
      <c r="L36" s="607">
        <v>-0.13984400348300918</v>
      </c>
      <c r="N36" s="612"/>
      <c r="O36" s="612"/>
      <c r="P36" s="612"/>
      <c r="Q36" s="612"/>
      <c r="R36" s="612"/>
      <c r="S36" s="612"/>
      <c r="T36" s="612"/>
      <c r="U36" s="612"/>
      <c r="V36" s="612"/>
    </row>
    <row r="37" spans="1:22" ht="15" customHeight="1">
      <c r="A37" s="10"/>
      <c r="B37" s="136" t="s">
        <v>230</v>
      </c>
      <c r="C37" s="593"/>
      <c r="D37" s="593"/>
      <c r="E37" s="593"/>
      <c r="F37" s="593"/>
      <c r="G37" s="592"/>
      <c r="I37" s="594"/>
      <c r="J37" s="593"/>
      <c r="K37" s="593"/>
      <c r="L37" s="592"/>
      <c r="N37" s="612"/>
      <c r="O37" s="612"/>
      <c r="P37" s="612"/>
      <c r="Q37" s="612"/>
      <c r="R37" s="612"/>
      <c r="S37" s="612"/>
      <c r="T37" s="612"/>
      <c r="U37" s="612"/>
      <c r="V37" s="612"/>
    </row>
    <row r="38" spans="1:22" ht="15" customHeight="1">
      <c r="A38" s="299">
        <v>25</v>
      </c>
      <c r="B38" s="11" t="s">
        <v>79</v>
      </c>
      <c r="C38" s="588">
        <v>0.41680946751997805</v>
      </c>
      <c r="D38" s="587">
        <v>0.3221076379957814</v>
      </c>
      <c r="E38" s="587">
        <v>0.45130946470648903</v>
      </c>
      <c r="F38" s="587">
        <v>0.43293598257376481</v>
      </c>
      <c r="G38" s="586">
        <v>0.40565491745745719</v>
      </c>
      <c r="I38" s="608">
        <v>0.34475351059959575</v>
      </c>
      <c r="J38" s="606">
        <v>0.48565679847351489</v>
      </c>
      <c r="K38" s="606">
        <v>0.47317434155458571</v>
      </c>
      <c r="L38" s="607">
        <v>0.44605749662012129</v>
      </c>
      <c r="N38" s="612"/>
      <c r="O38" s="612"/>
      <c r="P38" s="612"/>
      <c r="Q38" s="612"/>
      <c r="R38" s="612"/>
      <c r="S38" s="612"/>
      <c r="T38" s="612"/>
      <c r="U38" s="612"/>
      <c r="V38" s="612"/>
    </row>
    <row r="39" spans="1:22" ht="15" customHeight="1">
      <c r="A39" s="299">
        <v>26</v>
      </c>
      <c r="B39" s="11" t="s">
        <v>78</v>
      </c>
      <c r="C39" s="588">
        <v>0.83777399043728651</v>
      </c>
      <c r="D39" s="587">
        <v>0.8275263928609119</v>
      </c>
      <c r="E39" s="587">
        <v>0.81826596606146973</v>
      </c>
      <c r="F39" s="587">
        <v>0.85361500388120104</v>
      </c>
      <c r="G39" s="586">
        <v>0.84054672694618826</v>
      </c>
      <c r="I39" s="608">
        <v>0.83058328176367013</v>
      </c>
      <c r="J39" s="606">
        <v>0.82089125076935576</v>
      </c>
      <c r="K39" s="606">
        <v>0.8554901024702104</v>
      </c>
      <c r="L39" s="607">
        <v>0.84703413513355286</v>
      </c>
      <c r="N39" s="612"/>
      <c r="O39" s="612"/>
      <c r="P39" s="612"/>
      <c r="Q39" s="612"/>
      <c r="R39" s="612"/>
      <c r="S39" s="612"/>
      <c r="T39" s="612"/>
      <c r="U39" s="612"/>
      <c r="V39" s="612"/>
    </row>
    <row r="40" spans="1:22" ht="15" customHeight="1">
      <c r="A40" s="299">
        <v>27</v>
      </c>
      <c r="B40" s="11" t="s">
        <v>77</v>
      </c>
      <c r="C40" s="588">
        <v>0.37629362421774254</v>
      </c>
      <c r="D40" s="587">
        <v>0.35403353710074692</v>
      </c>
      <c r="E40" s="587">
        <v>0.42867089186910495</v>
      </c>
      <c r="F40" s="587">
        <v>0.44581871825973185</v>
      </c>
      <c r="G40" s="586">
        <v>0.4048887681196045</v>
      </c>
      <c r="I40" s="608">
        <v>0.38312436893033275</v>
      </c>
      <c r="J40" s="606">
        <v>0.4611070453292786</v>
      </c>
      <c r="K40" s="606">
        <v>0.48758691356806172</v>
      </c>
      <c r="L40" s="607">
        <v>0.40295698430299592</v>
      </c>
      <c r="N40" s="612"/>
      <c r="O40" s="612"/>
      <c r="P40" s="612"/>
      <c r="Q40" s="612"/>
      <c r="R40" s="612"/>
      <c r="S40" s="612"/>
      <c r="T40" s="612"/>
      <c r="U40" s="612"/>
      <c r="V40" s="612"/>
    </row>
    <row r="41" spans="1:22" ht="15" customHeight="1">
      <c r="A41" s="300"/>
      <c r="B41" s="136" t="s">
        <v>271</v>
      </c>
      <c r="C41" s="297"/>
      <c r="D41" s="297"/>
      <c r="E41" s="297"/>
      <c r="F41" s="297"/>
      <c r="G41" s="298"/>
      <c r="I41" s="480"/>
      <c r="J41" s="297"/>
      <c r="K41" s="297"/>
      <c r="L41" s="298"/>
      <c r="N41" s="612"/>
      <c r="O41" s="612"/>
      <c r="P41" s="612"/>
      <c r="Q41" s="612"/>
      <c r="R41" s="612"/>
      <c r="S41" s="612"/>
      <c r="T41" s="612"/>
      <c r="U41" s="612"/>
      <c r="V41" s="612"/>
    </row>
    <row r="42" spans="1:22">
      <c r="A42" s="299">
        <v>28</v>
      </c>
      <c r="B42" s="11" t="s">
        <v>254</v>
      </c>
      <c r="C42" s="15">
        <v>603233109.1620934</v>
      </c>
      <c r="D42" s="16">
        <v>641099895.18333113</v>
      </c>
      <c r="E42" s="16">
        <v>722200115.94565213</v>
      </c>
      <c r="F42" s="16">
        <v>633736976.41286957</v>
      </c>
      <c r="G42" s="17">
        <v>650448661.75054717</v>
      </c>
      <c r="I42" s="484">
        <v>646265671.04619467</v>
      </c>
      <c r="J42" s="485">
        <v>729588624.00502896</v>
      </c>
      <c r="K42" s="485">
        <v>639213571.84246445</v>
      </c>
      <c r="L42" s="486">
        <v>631144334.8084414</v>
      </c>
      <c r="N42" s="612"/>
      <c r="O42" s="612"/>
      <c r="P42" s="612"/>
      <c r="Q42" s="612"/>
      <c r="R42" s="612"/>
      <c r="S42" s="612"/>
      <c r="T42" s="612"/>
      <c r="U42" s="612"/>
      <c r="V42" s="612"/>
    </row>
    <row r="43" spans="1:22" ht="15" customHeight="1">
      <c r="A43" s="299">
        <v>29</v>
      </c>
      <c r="B43" s="11" t="s">
        <v>266</v>
      </c>
      <c r="C43" s="15">
        <v>354552657.47314662</v>
      </c>
      <c r="D43" s="16">
        <v>349783383.15369141</v>
      </c>
      <c r="E43" s="16">
        <v>424729347.52173913</v>
      </c>
      <c r="F43" s="16">
        <v>393520792.40630442</v>
      </c>
      <c r="G43" s="17">
        <v>377784397.5211584</v>
      </c>
      <c r="I43" s="484">
        <v>355331758.37200814</v>
      </c>
      <c r="J43" s="485">
        <v>437351307.64261466</v>
      </c>
      <c r="K43" s="485">
        <v>404688412.94228691</v>
      </c>
      <c r="L43" s="486">
        <v>356160850.5765754</v>
      </c>
      <c r="N43" s="612"/>
      <c r="O43" s="612"/>
      <c r="P43" s="612"/>
      <c r="Q43" s="612"/>
      <c r="R43" s="612"/>
      <c r="S43" s="612"/>
      <c r="T43" s="612"/>
      <c r="U43" s="612"/>
      <c r="V43" s="612"/>
    </row>
    <row r="44" spans="1:22" ht="15" customHeight="1">
      <c r="A44" s="325">
        <v>30</v>
      </c>
      <c r="B44" s="326" t="s">
        <v>255</v>
      </c>
      <c r="C44" s="600">
        <v>1.7013921527517575</v>
      </c>
      <c r="D44" s="599">
        <v>1.8328483457478542</v>
      </c>
      <c r="E44" s="599">
        <v>1.7003772406112987</v>
      </c>
      <c r="F44" s="599">
        <v>1.6104281873841764</v>
      </c>
      <c r="G44" s="598">
        <v>1.7217456994478386</v>
      </c>
      <c r="I44" s="585">
        <v>1.8187669855549431</v>
      </c>
      <c r="J44" s="584">
        <v>1.6681981081470059</v>
      </c>
      <c r="K44" s="584">
        <v>1.5795203208193249</v>
      </c>
      <c r="L44" s="598">
        <v>1.7720766720618102</v>
      </c>
      <c r="N44" s="612"/>
      <c r="O44" s="612"/>
      <c r="P44" s="612"/>
      <c r="Q44" s="612"/>
      <c r="R44" s="612"/>
      <c r="S44" s="612"/>
      <c r="T44" s="612"/>
      <c r="U44" s="612"/>
      <c r="V44" s="612"/>
    </row>
    <row r="45" spans="1:22" ht="15" customHeight="1">
      <c r="A45" s="325"/>
      <c r="B45" s="136" t="s">
        <v>373</v>
      </c>
      <c r="C45" s="327"/>
      <c r="D45" s="328"/>
      <c r="E45" s="328"/>
      <c r="F45" s="328"/>
      <c r="G45" s="329"/>
      <c r="I45" s="487"/>
      <c r="J45" s="488"/>
      <c r="K45" s="488"/>
      <c r="L45" s="329"/>
      <c r="N45" s="612"/>
      <c r="O45" s="612"/>
      <c r="P45" s="612"/>
      <c r="Q45" s="612"/>
      <c r="R45" s="612"/>
      <c r="S45" s="612"/>
      <c r="T45" s="612"/>
      <c r="U45" s="612"/>
      <c r="V45" s="612"/>
    </row>
    <row r="46" spans="1:22" ht="15" customHeight="1">
      <c r="A46" s="325">
        <v>31</v>
      </c>
      <c r="B46" s="326" t="s">
        <v>380</v>
      </c>
      <c r="C46" s="327">
        <v>1220747487.9431939</v>
      </c>
      <c r="D46" s="328">
        <v>1127228135.2763696</v>
      </c>
      <c r="E46" s="328">
        <v>1222087368.3474715</v>
      </c>
      <c r="F46" s="328">
        <v>1225983493.4443285</v>
      </c>
      <c r="G46" s="329">
        <v>1124888387.4800835</v>
      </c>
      <c r="I46" s="487">
        <v>1013286512.3901736</v>
      </c>
      <c r="J46" s="488">
        <v>1108500211.0931854</v>
      </c>
      <c r="K46" s="488">
        <v>1083242923.834146</v>
      </c>
      <c r="L46" s="329">
        <v>985451919.75065398</v>
      </c>
      <c r="N46" s="612"/>
      <c r="O46" s="612"/>
      <c r="P46" s="612"/>
      <c r="Q46" s="612"/>
      <c r="R46" s="612"/>
      <c r="S46" s="612"/>
      <c r="T46" s="612"/>
      <c r="U46" s="612"/>
      <c r="V46" s="612"/>
    </row>
    <row r="47" spans="1:22" ht="15" customHeight="1">
      <c r="A47" s="325">
        <v>32</v>
      </c>
      <c r="B47" s="326" t="s">
        <v>395</v>
      </c>
      <c r="C47" s="327">
        <v>702093549.48053932</v>
      </c>
      <c r="D47" s="328">
        <v>674505700.37792647</v>
      </c>
      <c r="E47" s="328">
        <v>693944328.54799378</v>
      </c>
      <c r="F47" s="328">
        <v>735040441.13670707</v>
      </c>
      <c r="G47" s="329">
        <v>756273691.14532804</v>
      </c>
      <c r="I47" s="487">
        <v>575183794.88860595</v>
      </c>
      <c r="J47" s="488">
        <v>596083524.8292141</v>
      </c>
      <c r="K47" s="488">
        <v>607887717.53463447</v>
      </c>
      <c r="L47" s="329">
        <v>625376566.17079306</v>
      </c>
      <c r="N47" s="612"/>
      <c r="O47" s="612"/>
      <c r="P47" s="612"/>
      <c r="Q47" s="612"/>
      <c r="R47" s="612"/>
      <c r="S47" s="612"/>
      <c r="T47" s="612"/>
      <c r="U47" s="612"/>
      <c r="V47" s="612"/>
    </row>
    <row r="48" spans="1:22" ht="15" thickBot="1">
      <c r="A48" s="301">
        <v>33</v>
      </c>
      <c r="B48" s="138" t="s">
        <v>413</v>
      </c>
      <c r="C48" s="597">
        <v>1.7387248306815994</v>
      </c>
      <c r="D48" s="596">
        <v>1.6711914141641533</v>
      </c>
      <c r="E48" s="596">
        <v>1.761074077663495</v>
      </c>
      <c r="F48" s="596">
        <v>1.6679129811529827</v>
      </c>
      <c r="G48" s="595">
        <v>1.4874091227165553</v>
      </c>
      <c r="I48" s="583">
        <v>1.7616743054911927</v>
      </c>
      <c r="J48" s="596">
        <v>1.8596390688885178</v>
      </c>
      <c r="K48" s="596">
        <v>1.7819786328754506</v>
      </c>
      <c r="L48" s="595">
        <v>1.575773658716727</v>
      </c>
      <c r="N48" s="612"/>
      <c r="O48" s="612"/>
      <c r="P48" s="612"/>
      <c r="Q48" s="612"/>
      <c r="R48" s="612"/>
      <c r="S48" s="612"/>
      <c r="T48" s="612"/>
      <c r="U48" s="612"/>
      <c r="V48" s="612"/>
    </row>
    <row r="49" spans="1:2">
      <c r="A49" s="18"/>
    </row>
    <row r="50" spans="1:2" ht="38.25">
      <c r="B50" s="188" t="s">
        <v>709</v>
      </c>
    </row>
    <row r="51" spans="1:2" ht="51">
      <c r="B51" s="188" t="s">
        <v>270</v>
      </c>
    </row>
    <row r="53" spans="1:2">
      <c r="B53" s="187"/>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3"/>
  <sheetViews>
    <sheetView showGridLines="0" zoomScaleNormal="100" workbookViewId="0"/>
  </sheetViews>
  <sheetFormatPr defaultColWidth="9.140625" defaultRowHeight="12.75"/>
  <cols>
    <col min="1" max="1" width="11.85546875" style="332" bestFit="1" customWidth="1"/>
    <col min="2" max="2" width="84" style="332" customWidth="1"/>
    <col min="3" max="4" width="15.28515625" style="332" bestFit="1" customWidth="1"/>
    <col min="5" max="5" width="17.5703125" style="332" bestFit="1" customWidth="1"/>
    <col min="6" max="6" width="15.28515625" style="332" bestFit="1" customWidth="1"/>
    <col min="7" max="7" width="16.7109375" style="332" bestFit="1" customWidth="1"/>
    <col min="8" max="8" width="16.85546875" style="332" bestFit="1" customWidth="1"/>
    <col min="9" max="16384" width="9.140625" style="332"/>
  </cols>
  <sheetData>
    <row r="1" spans="1:8" ht="13.5">
      <c r="A1" s="330" t="s">
        <v>30</v>
      </c>
      <c r="B1" s="405" t="str">
        <f>'Info '!C2</f>
        <v>JSC Cartu Bank</v>
      </c>
    </row>
    <row r="2" spans="1:8">
      <c r="A2" s="330" t="s">
        <v>31</v>
      </c>
      <c r="B2" s="677">
        <f>'1. key ratios '!B2</f>
        <v>45107</v>
      </c>
    </row>
    <row r="3" spans="1:8">
      <c r="A3" s="331" t="s">
        <v>416</v>
      </c>
    </row>
    <row r="5" spans="1:8" ht="12" customHeight="1">
      <c r="A5" s="745" t="s">
        <v>417</v>
      </c>
      <c r="B5" s="746"/>
      <c r="C5" s="751" t="s">
        <v>418</v>
      </c>
      <c r="D5" s="752"/>
      <c r="E5" s="752"/>
      <c r="F5" s="752"/>
      <c r="G5" s="752"/>
      <c r="H5" s="753"/>
    </row>
    <row r="6" spans="1:8">
      <c r="A6" s="747"/>
      <c r="B6" s="748"/>
      <c r="C6" s="754"/>
      <c r="D6" s="755"/>
      <c r="E6" s="755"/>
      <c r="F6" s="755"/>
      <c r="G6" s="755"/>
      <c r="H6" s="756"/>
    </row>
    <row r="7" spans="1:8">
      <c r="A7" s="749"/>
      <c r="B7" s="750"/>
      <c r="C7" s="404" t="s">
        <v>419</v>
      </c>
      <c r="D7" s="404" t="s">
        <v>420</v>
      </c>
      <c r="E7" s="404" t="s">
        <v>421</v>
      </c>
      <c r="F7" s="404" t="s">
        <v>422</v>
      </c>
      <c r="G7" s="404" t="s">
        <v>423</v>
      </c>
      <c r="H7" s="404" t="s">
        <v>64</v>
      </c>
    </row>
    <row r="8" spans="1:8">
      <c r="A8" s="400">
        <v>1</v>
      </c>
      <c r="B8" s="399" t="s">
        <v>51</v>
      </c>
      <c r="C8" s="523">
        <v>245964649</v>
      </c>
      <c r="D8" s="523">
        <v>935221.76000000001</v>
      </c>
      <c r="E8" s="523">
        <v>27997263.821746573</v>
      </c>
      <c r="F8" s="523">
        <v>0</v>
      </c>
      <c r="G8" s="523"/>
      <c r="H8" s="524">
        <f t="shared" ref="H8:H21" si="0">SUM(C8:G8)</f>
        <v>274897134.58174658</v>
      </c>
    </row>
    <row r="9" spans="1:8">
      <c r="A9" s="400">
        <v>2</v>
      </c>
      <c r="B9" s="399" t="s">
        <v>52</v>
      </c>
      <c r="C9" s="523"/>
      <c r="D9" s="523"/>
      <c r="E9" s="523"/>
      <c r="F9" s="523"/>
      <c r="G9" s="523"/>
      <c r="H9" s="524">
        <f t="shared" si="0"/>
        <v>0</v>
      </c>
    </row>
    <row r="10" spans="1:8">
      <c r="A10" s="400">
        <v>3</v>
      </c>
      <c r="B10" s="399" t="s">
        <v>164</v>
      </c>
      <c r="C10" s="523"/>
      <c r="D10" s="523"/>
      <c r="E10" s="523"/>
      <c r="F10" s="523"/>
      <c r="G10" s="523"/>
      <c r="H10" s="524">
        <f t="shared" si="0"/>
        <v>0</v>
      </c>
    </row>
    <row r="11" spans="1:8">
      <c r="A11" s="400">
        <v>4</v>
      </c>
      <c r="B11" s="399" t="s">
        <v>53</v>
      </c>
      <c r="C11" s="523"/>
      <c r="D11" s="523"/>
      <c r="E11" s="523"/>
      <c r="F11" s="523"/>
      <c r="G11" s="523"/>
      <c r="H11" s="524">
        <f t="shared" si="0"/>
        <v>0</v>
      </c>
    </row>
    <row r="12" spans="1:8">
      <c r="A12" s="400">
        <v>5</v>
      </c>
      <c r="B12" s="399" t="s">
        <v>54</v>
      </c>
      <c r="C12" s="523"/>
      <c r="D12" s="523"/>
      <c r="E12" s="523"/>
      <c r="F12" s="523"/>
      <c r="G12" s="523"/>
      <c r="H12" s="524">
        <f t="shared" si="0"/>
        <v>0</v>
      </c>
    </row>
    <row r="13" spans="1:8">
      <c r="A13" s="400">
        <v>6</v>
      </c>
      <c r="B13" s="399" t="s">
        <v>55</v>
      </c>
      <c r="C13" s="523">
        <v>114825691.68000002</v>
      </c>
      <c r="D13" s="523">
        <v>265436235.1941084</v>
      </c>
      <c r="E13" s="523">
        <v>0</v>
      </c>
      <c r="F13" s="523">
        <v>2765753.71</v>
      </c>
      <c r="G13" s="523"/>
      <c r="H13" s="524">
        <f t="shared" si="0"/>
        <v>383027680.58410841</v>
      </c>
    </row>
    <row r="14" spans="1:8">
      <c r="A14" s="400">
        <v>7</v>
      </c>
      <c r="B14" s="399" t="s">
        <v>56</v>
      </c>
      <c r="C14" s="523"/>
      <c r="D14" s="523">
        <v>298813861.45361763</v>
      </c>
      <c r="E14" s="523">
        <v>192735233.82928395</v>
      </c>
      <c r="F14" s="523">
        <v>221003134.42506206</v>
      </c>
      <c r="G14" s="523">
        <v>35804050.344191097</v>
      </c>
      <c r="H14" s="524">
        <f t="shared" si="0"/>
        <v>748356280.05215478</v>
      </c>
    </row>
    <row r="15" spans="1:8">
      <c r="A15" s="400">
        <v>8</v>
      </c>
      <c r="B15" s="401" t="s">
        <v>57</v>
      </c>
      <c r="C15" s="523"/>
      <c r="D15" s="523"/>
      <c r="E15" s="523"/>
      <c r="F15" s="523"/>
      <c r="G15" s="523"/>
      <c r="H15" s="524">
        <f t="shared" si="0"/>
        <v>0</v>
      </c>
    </row>
    <row r="16" spans="1:8">
      <c r="A16" s="400">
        <v>9</v>
      </c>
      <c r="B16" s="399" t="s">
        <v>58</v>
      </c>
      <c r="C16" s="523"/>
      <c r="D16" s="523"/>
      <c r="E16" s="523"/>
      <c r="F16" s="523"/>
      <c r="G16" s="523"/>
      <c r="H16" s="524">
        <f t="shared" si="0"/>
        <v>0</v>
      </c>
    </row>
    <row r="17" spans="1:8">
      <c r="A17" s="400">
        <v>10</v>
      </c>
      <c r="B17" s="403" t="s">
        <v>431</v>
      </c>
      <c r="C17" s="523"/>
      <c r="D17" s="523">
        <v>6695511.8418678651</v>
      </c>
      <c r="E17" s="523">
        <v>16215284.601864822</v>
      </c>
      <c r="F17" s="523">
        <v>12723526.35582662</v>
      </c>
      <c r="G17" s="523">
        <v>35793207.267368957</v>
      </c>
      <c r="H17" s="524">
        <f t="shared" si="0"/>
        <v>71427530.066928267</v>
      </c>
    </row>
    <row r="18" spans="1:8">
      <c r="A18" s="400">
        <v>11</v>
      </c>
      <c r="B18" s="399" t="s">
        <v>60</v>
      </c>
      <c r="C18" s="523"/>
      <c r="D18" s="523"/>
      <c r="E18" s="523"/>
      <c r="F18" s="523"/>
      <c r="G18" s="523"/>
      <c r="H18" s="524">
        <f t="shared" si="0"/>
        <v>0</v>
      </c>
    </row>
    <row r="19" spans="1:8">
      <c r="A19" s="400">
        <v>12</v>
      </c>
      <c r="B19" s="399" t="s">
        <v>61</v>
      </c>
      <c r="C19" s="523"/>
      <c r="D19" s="523"/>
      <c r="E19" s="523"/>
      <c r="F19" s="523"/>
      <c r="G19" s="523"/>
      <c r="H19" s="524">
        <f t="shared" si="0"/>
        <v>0</v>
      </c>
    </row>
    <row r="20" spans="1:8">
      <c r="A20" s="402">
        <v>13</v>
      </c>
      <c r="B20" s="401" t="s">
        <v>144</v>
      </c>
      <c r="C20" s="523"/>
      <c r="D20" s="523"/>
      <c r="E20" s="523"/>
      <c r="F20" s="523"/>
      <c r="G20" s="523"/>
      <c r="H20" s="524">
        <f t="shared" si="0"/>
        <v>0</v>
      </c>
    </row>
    <row r="21" spans="1:8">
      <c r="A21" s="400">
        <v>14</v>
      </c>
      <c r="B21" s="399" t="s">
        <v>63</v>
      </c>
      <c r="C21" s="523">
        <v>31787406.789999999</v>
      </c>
      <c r="D21" s="523">
        <v>3371194.2592358571</v>
      </c>
      <c r="E21" s="523">
        <v>4688670.187426433</v>
      </c>
      <c r="F21" s="523">
        <v>25771513.193004377</v>
      </c>
      <c r="G21" s="523">
        <v>137506532.53258875</v>
      </c>
      <c r="H21" s="524">
        <f t="shared" si="0"/>
        <v>203125316.96225542</v>
      </c>
    </row>
    <row r="22" spans="1:8">
      <c r="A22" s="398">
        <v>15</v>
      </c>
      <c r="B22" s="397" t="s">
        <v>64</v>
      </c>
      <c r="C22" s="524">
        <f>SUM(C18:C21)+SUM(C8:C16)</f>
        <v>392577747.47000003</v>
      </c>
      <c r="D22" s="524">
        <f t="shared" ref="D22:H22" si="1">SUM(D18:D21)+SUM(D8:D16)</f>
        <v>568556512.66696191</v>
      </c>
      <c r="E22" s="524">
        <f t="shared" si="1"/>
        <v>225421167.83845699</v>
      </c>
      <c r="F22" s="524">
        <f t="shared" si="1"/>
        <v>249540401.32806644</v>
      </c>
      <c r="G22" s="524">
        <f t="shared" si="1"/>
        <v>173310582.87677985</v>
      </c>
      <c r="H22" s="524">
        <f t="shared" si="1"/>
        <v>1609406412.1802652</v>
      </c>
    </row>
    <row r="26" spans="1:8" ht="38.25">
      <c r="B26" s="335" t="s">
        <v>518</v>
      </c>
    </row>
    <row r="29" spans="1:8">
      <c r="C29" s="678"/>
      <c r="D29" s="678"/>
      <c r="E29" s="678"/>
      <c r="F29" s="678"/>
      <c r="G29" s="678"/>
      <c r="H29" s="678"/>
    </row>
    <row r="30" spans="1:8">
      <c r="C30" s="678"/>
      <c r="D30" s="678"/>
      <c r="E30" s="678"/>
      <c r="F30" s="678"/>
      <c r="G30" s="678"/>
      <c r="H30" s="678"/>
    </row>
    <row r="31" spans="1:8">
      <c r="C31" s="678"/>
      <c r="D31" s="678"/>
      <c r="E31" s="678"/>
      <c r="F31" s="678"/>
      <c r="G31" s="678"/>
      <c r="H31" s="678"/>
    </row>
    <row r="32" spans="1:8">
      <c r="C32" s="678"/>
      <c r="D32" s="678"/>
      <c r="E32" s="678"/>
      <c r="F32" s="678"/>
      <c r="G32" s="678"/>
      <c r="H32" s="678"/>
    </row>
    <row r="33" spans="3:8">
      <c r="C33" s="678"/>
      <c r="D33" s="678"/>
      <c r="E33" s="678"/>
      <c r="F33" s="678"/>
      <c r="G33" s="678"/>
      <c r="H33" s="678"/>
    </row>
    <row r="34" spans="3:8">
      <c r="C34" s="678"/>
      <c r="D34" s="678"/>
      <c r="E34" s="678"/>
      <c r="F34" s="678"/>
      <c r="G34" s="678"/>
      <c r="H34" s="678"/>
    </row>
    <row r="35" spans="3:8">
      <c r="C35" s="678"/>
      <c r="D35" s="678"/>
      <c r="E35" s="678"/>
      <c r="F35" s="678"/>
      <c r="G35" s="678"/>
      <c r="H35" s="678"/>
    </row>
    <row r="36" spans="3:8">
      <c r="C36" s="678"/>
      <c r="D36" s="678"/>
      <c r="E36" s="678"/>
      <c r="F36" s="678"/>
      <c r="G36" s="678"/>
      <c r="H36" s="678"/>
    </row>
    <row r="37" spans="3:8">
      <c r="C37" s="678"/>
      <c r="D37" s="678"/>
      <c r="E37" s="678"/>
      <c r="F37" s="678"/>
      <c r="G37" s="678"/>
      <c r="H37" s="678"/>
    </row>
    <row r="38" spans="3:8">
      <c r="C38" s="678"/>
      <c r="D38" s="678"/>
      <c r="E38" s="678"/>
      <c r="F38" s="678"/>
      <c r="G38" s="678"/>
      <c r="H38" s="678"/>
    </row>
    <row r="39" spans="3:8">
      <c r="C39" s="678"/>
      <c r="D39" s="678"/>
      <c r="E39" s="678"/>
      <c r="F39" s="678"/>
      <c r="G39" s="678"/>
      <c r="H39" s="678"/>
    </row>
    <row r="40" spans="3:8">
      <c r="C40" s="678"/>
      <c r="D40" s="678"/>
      <c r="E40" s="678"/>
      <c r="F40" s="678"/>
      <c r="G40" s="678"/>
      <c r="H40" s="678"/>
    </row>
    <row r="41" spans="3:8">
      <c r="C41" s="678"/>
      <c r="D41" s="678"/>
      <c r="E41" s="678"/>
      <c r="F41" s="678"/>
      <c r="G41" s="678"/>
      <c r="H41" s="678"/>
    </row>
    <row r="42" spans="3:8">
      <c r="C42" s="678"/>
      <c r="D42" s="678"/>
      <c r="E42" s="678"/>
      <c r="F42" s="678"/>
      <c r="G42" s="678"/>
      <c r="H42" s="678"/>
    </row>
    <row r="43" spans="3:8">
      <c r="C43" s="678"/>
      <c r="D43" s="678"/>
      <c r="E43" s="678"/>
      <c r="F43" s="678"/>
      <c r="G43" s="678"/>
      <c r="H43" s="678"/>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42"/>
  <sheetViews>
    <sheetView showGridLines="0" zoomScaleNormal="100" workbookViewId="0"/>
  </sheetViews>
  <sheetFormatPr defaultColWidth="9.140625" defaultRowHeight="12.75"/>
  <cols>
    <col min="1" max="1" width="11.85546875" style="406" bestFit="1" customWidth="1"/>
    <col min="2" max="2" width="86.85546875" style="332" customWidth="1"/>
    <col min="3" max="4" width="31.5703125" style="332" customWidth="1"/>
    <col min="5" max="5" width="15.140625" style="332" bestFit="1" customWidth="1"/>
    <col min="6" max="6" width="11.85546875" style="332" bestFit="1" customWidth="1"/>
    <col min="7" max="7" width="21.5703125" style="332" bestFit="1" customWidth="1"/>
    <col min="8" max="8" width="20.42578125" style="332" customWidth="1"/>
    <col min="9" max="16384" width="9.140625" style="332"/>
  </cols>
  <sheetData>
    <row r="1" spans="1:8" ht="13.5">
      <c r="A1" s="330" t="s">
        <v>30</v>
      </c>
      <c r="B1" s="405" t="str">
        <f>'Info '!C2</f>
        <v>JSC Cartu Bank</v>
      </c>
      <c r="C1" s="418"/>
      <c r="D1" s="418"/>
      <c r="E1" s="418"/>
      <c r="F1" s="418"/>
      <c r="G1" s="418"/>
      <c r="H1" s="418"/>
    </row>
    <row r="2" spans="1:8">
      <c r="A2" s="330" t="s">
        <v>31</v>
      </c>
      <c r="B2" s="677">
        <f>'1. key ratios '!B2</f>
        <v>45107</v>
      </c>
      <c r="C2" s="418"/>
      <c r="D2" s="418"/>
      <c r="E2" s="418"/>
      <c r="F2" s="418"/>
      <c r="G2" s="418"/>
      <c r="H2" s="418"/>
    </row>
    <row r="3" spans="1:8">
      <c r="A3" s="331" t="s">
        <v>424</v>
      </c>
      <c r="B3" s="418"/>
      <c r="C3" s="418"/>
      <c r="D3" s="418"/>
      <c r="E3" s="418"/>
      <c r="F3" s="418"/>
      <c r="G3" s="418"/>
      <c r="H3" s="418"/>
    </row>
    <row r="4" spans="1:8">
      <c r="A4" s="419"/>
      <c r="B4" s="418"/>
      <c r="C4" s="417" t="s">
        <v>0</v>
      </c>
      <c r="D4" s="417" t="s">
        <v>1</v>
      </c>
      <c r="E4" s="417" t="s">
        <v>2</v>
      </c>
      <c r="F4" s="417" t="s">
        <v>3</v>
      </c>
      <c r="G4" s="417" t="s">
        <v>4</v>
      </c>
      <c r="H4" s="417" t="s">
        <v>5</v>
      </c>
    </row>
    <row r="5" spans="1:8" ht="33.950000000000003" customHeight="1">
      <c r="A5" s="745" t="s">
        <v>425</v>
      </c>
      <c r="B5" s="746"/>
      <c r="C5" s="759" t="s">
        <v>426</v>
      </c>
      <c r="D5" s="759"/>
      <c r="E5" s="759" t="s">
        <v>663</v>
      </c>
      <c r="F5" s="757" t="s">
        <v>427</v>
      </c>
      <c r="G5" s="757" t="s">
        <v>428</v>
      </c>
      <c r="H5" s="415" t="s">
        <v>662</v>
      </c>
    </row>
    <row r="6" spans="1:8" ht="25.5">
      <c r="A6" s="749"/>
      <c r="B6" s="750"/>
      <c r="C6" s="416" t="s">
        <v>429</v>
      </c>
      <c r="D6" s="416" t="s">
        <v>430</v>
      </c>
      <c r="E6" s="759"/>
      <c r="F6" s="758"/>
      <c r="G6" s="758"/>
      <c r="H6" s="415" t="s">
        <v>661</v>
      </c>
    </row>
    <row r="7" spans="1:8">
      <c r="A7" s="413">
        <v>1</v>
      </c>
      <c r="B7" s="399" t="s">
        <v>51</v>
      </c>
      <c r="C7" s="522"/>
      <c r="D7" s="522">
        <v>275016349.25</v>
      </c>
      <c r="E7" s="522">
        <v>106334.3449161091</v>
      </c>
      <c r="F7" s="522"/>
      <c r="G7" s="522"/>
      <c r="H7" s="521">
        <f>C7+D7-E7-F7</f>
        <v>274910014.90508389</v>
      </c>
    </row>
    <row r="8" spans="1:8">
      <c r="A8" s="413">
        <v>2</v>
      </c>
      <c r="B8" s="399" t="s">
        <v>52</v>
      </c>
      <c r="C8" s="522"/>
      <c r="D8" s="522"/>
      <c r="E8" s="522"/>
      <c r="F8" s="522"/>
      <c r="G8" s="522"/>
      <c r="H8" s="521">
        <f t="shared" ref="H8:H20" si="0">C8+D8-E8-F8</f>
        <v>0</v>
      </c>
    </row>
    <row r="9" spans="1:8">
      <c r="A9" s="413">
        <v>3</v>
      </c>
      <c r="B9" s="399" t="s">
        <v>164</v>
      </c>
      <c r="C9" s="522"/>
      <c r="D9" s="522"/>
      <c r="E9" s="522"/>
      <c r="F9" s="522"/>
      <c r="G9" s="522"/>
      <c r="H9" s="521">
        <f t="shared" si="0"/>
        <v>0</v>
      </c>
    </row>
    <row r="10" spans="1:8">
      <c r="A10" s="413">
        <v>4</v>
      </c>
      <c r="B10" s="399" t="s">
        <v>53</v>
      </c>
      <c r="C10" s="522"/>
      <c r="D10" s="522"/>
      <c r="E10" s="522"/>
      <c r="F10" s="522"/>
      <c r="G10" s="522"/>
      <c r="H10" s="521">
        <f t="shared" si="0"/>
        <v>0</v>
      </c>
    </row>
    <row r="11" spans="1:8">
      <c r="A11" s="413">
        <v>5</v>
      </c>
      <c r="B11" s="399" t="s">
        <v>54</v>
      </c>
      <c r="C11" s="522"/>
      <c r="D11" s="522"/>
      <c r="E11" s="522"/>
      <c r="F11" s="522"/>
      <c r="G11" s="522"/>
      <c r="H11" s="521">
        <f t="shared" si="0"/>
        <v>0</v>
      </c>
    </row>
    <row r="12" spans="1:8">
      <c r="A12" s="413">
        <v>6</v>
      </c>
      <c r="B12" s="399" t="s">
        <v>55</v>
      </c>
      <c r="C12" s="522"/>
      <c r="D12" s="522">
        <v>383099845.38999999</v>
      </c>
      <c r="E12" s="522">
        <v>72164.805891619122</v>
      </c>
      <c r="F12" s="522"/>
      <c r="G12" s="522"/>
      <c r="H12" s="521">
        <f t="shared" si="0"/>
        <v>383027680.58410835</v>
      </c>
    </row>
    <row r="13" spans="1:8">
      <c r="A13" s="413">
        <v>7</v>
      </c>
      <c r="B13" s="399" t="s">
        <v>56</v>
      </c>
      <c r="C13" s="522">
        <v>154192532.7542935</v>
      </c>
      <c r="D13" s="522">
        <v>651945546.50979614</v>
      </c>
      <c r="E13" s="522">
        <v>57781799.211935155</v>
      </c>
      <c r="F13" s="522"/>
      <c r="G13" s="522">
        <v>381377.20908599999</v>
      </c>
      <c r="H13" s="521">
        <f t="shared" si="0"/>
        <v>748356280.05215442</v>
      </c>
    </row>
    <row r="14" spans="1:8">
      <c r="A14" s="413">
        <v>8</v>
      </c>
      <c r="B14" s="401" t="s">
        <v>57</v>
      </c>
      <c r="C14" s="522"/>
      <c r="D14" s="522"/>
      <c r="E14" s="522"/>
      <c r="F14" s="522"/>
      <c r="G14" s="522"/>
      <c r="H14" s="521">
        <f t="shared" si="0"/>
        <v>0</v>
      </c>
    </row>
    <row r="15" spans="1:8">
      <c r="A15" s="413">
        <v>9</v>
      </c>
      <c r="B15" s="399" t="s">
        <v>58</v>
      </c>
      <c r="C15" s="522"/>
      <c r="D15" s="522"/>
      <c r="E15" s="522"/>
      <c r="F15" s="522"/>
      <c r="G15" s="522"/>
      <c r="H15" s="521">
        <f t="shared" si="0"/>
        <v>0</v>
      </c>
    </row>
    <row r="16" spans="1:8">
      <c r="A16" s="413">
        <v>10</v>
      </c>
      <c r="B16" s="403" t="s">
        <v>431</v>
      </c>
      <c r="C16" s="522">
        <v>94796225.970357105</v>
      </c>
      <c r="D16" s="522">
        <v>668433.06250237057</v>
      </c>
      <c r="E16" s="522">
        <v>24037128.965931199</v>
      </c>
      <c r="F16" s="522"/>
      <c r="G16" s="522">
        <v>418493.19548599998</v>
      </c>
      <c r="H16" s="521">
        <f t="shared" si="0"/>
        <v>71427530.066928267</v>
      </c>
    </row>
    <row r="17" spans="1:8">
      <c r="A17" s="413">
        <v>11</v>
      </c>
      <c r="B17" s="399" t="s">
        <v>60</v>
      </c>
      <c r="C17" s="522"/>
      <c r="D17" s="522"/>
      <c r="E17" s="522"/>
      <c r="F17" s="522"/>
      <c r="G17" s="522"/>
      <c r="H17" s="521">
        <f t="shared" si="0"/>
        <v>0</v>
      </c>
    </row>
    <row r="18" spans="1:8">
      <c r="A18" s="413">
        <v>12</v>
      </c>
      <c r="B18" s="399" t="s">
        <v>61</v>
      </c>
      <c r="C18" s="522"/>
      <c r="D18" s="522"/>
      <c r="E18" s="522"/>
      <c r="F18" s="522"/>
      <c r="G18" s="522"/>
      <c r="H18" s="521">
        <f t="shared" si="0"/>
        <v>0</v>
      </c>
    </row>
    <row r="19" spans="1:8">
      <c r="A19" s="414">
        <v>13</v>
      </c>
      <c r="B19" s="401" t="s">
        <v>144</v>
      </c>
      <c r="C19" s="522"/>
      <c r="D19" s="522"/>
      <c r="E19" s="522"/>
      <c r="F19" s="522"/>
      <c r="G19" s="522"/>
      <c r="H19" s="521">
        <f t="shared" si="0"/>
        <v>0</v>
      </c>
    </row>
    <row r="20" spans="1:8">
      <c r="A20" s="413">
        <v>14</v>
      </c>
      <c r="B20" s="399" t="s">
        <v>63</v>
      </c>
      <c r="C20" s="522">
        <v>3830791.6277510519</v>
      </c>
      <c r="D20" s="522">
        <v>206592830.35458165</v>
      </c>
      <c r="E20" s="522">
        <v>1798690.4400772885</v>
      </c>
      <c r="F20" s="522">
        <v>0</v>
      </c>
      <c r="G20" s="522">
        <v>45359.316400000003</v>
      </c>
      <c r="H20" s="521">
        <f t="shared" si="0"/>
        <v>208624931.54225543</v>
      </c>
    </row>
    <row r="21" spans="1:8" s="410" customFormat="1">
      <c r="A21" s="412">
        <v>15</v>
      </c>
      <c r="B21" s="411" t="s">
        <v>64</v>
      </c>
      <c r="C21" s="520">
        <f t="shared" ref="C21:H21" si="1">SUM(C7:C15)+SUM(C17:C20)</f>
        <v>158023324.38204455</v>
      </c>
      <c r="D21" s="520">
        <f t="shared" si="1"/>
        <v>1516654571.5043776</v>
      </c>
      <c r="E21" s="520">
        <f t="shared" si="1"/>
        <v>59758988.802820176</v>
      </c>
      <c r="F21" s="520">
        <f t="shared" si="1"/>
        <v>0</v>
      </c>
      <c r="G21" s="520">
        <f t="shared" si="1"/>
        <v>426736.525486</v>
      </c>
      <c r="H21" s="519">
        <f t="shared" si="1"/>
        <v>1614918907.083602</v>
      </c>
    </row>
    <row r="22" spans="1:8">
      <c r="A22" s="409">
        <v>16</v>
      </c>
      <c r="B22" s="408" t="s">
        <v>432</v>
      </c>
      <c r="C22" s="522">
        <v>157100618.87293649</v>
      </c>
      <c r="D22" s="522">
        <v>654713258.44291401</v>
      </c>
      <c r="E22" s="522">
        <v>58863166.382753998</v>
      </c>
      <c r="F22" s="522"/>
      <c r="G22" s="522">
        <v>418493.19548599998</v>
      </c>
      <c r="H22" s="521">
        <f>C22+D22-E22-F22</f>
        <v>752950710.93309653</v>
      </c>
    </row>
    <row r="23" spans="1:8">
      <c r="A23" s="409">
        <v>17</v>
      </c>
      <c r="B23" s="408" t="s">
        <v>433</v>
      </c>
      <c r="C23" s="522">
        <v>0</v>
      </c>
      <c r="D23" s="522">
        <v>58137399.050000004</v>
      </c>
      <c r="E23" s="522">
        <v>347058.46392622363</v>
      </c>
      <c r="F23" s="522"/>
      <c r="G23" s="522"/>
      <c r="H23" s="521">
        <f>C23+D23-E23-F23</f>
        <v>57790340.586073779</v>
      </c>
    </row>
    <row r="26" spans="1:8" ht="42.6" customHeight="1">
      <c r="B26" s="335" t="s">
        <v>518</v>
      </c>
      <c r="C26" s="678"/>
      <c r="D26" s="678"/>
      <c r="E26" s="678"/>
      <c r="F26" s="678"/>
      <c r="G26" s="678"/>
      <c r="H26" s="678"/>
    </row>
    <row r="27" spans="1:8">
      <c r="C27" s="678"/>
      <c r="D27" s="678"/>
      <c r="E27" s="678"/>
      <c r="F27" s="678"/>
      <c r="G27" s="678"/>
      <c r="H27" s="678"/>
    </row>
    <row r="28" spans="1:8">
      <c r="C28" s="678"/>
      <c r="D28" s="678"/>
      <c r="E28" s="678"/>
      <c r="F28" s="678"/>
      <c r="G28" s="678"/>
      <c r="H28" s="678"/>
    </row>
    <row r="29" spans="1:8">
      <c r="C29" s="678"/>
      <c r="D29" s="678"/>
      <c r="E29" s="678"/>
      <c r="F29" s="678"/>
      <c r="G29" s="678"/>
      <c r="H29" s="678"/>
    </row>
    <row r="30" spans="1:8">
      <c r="C30" s="678"/>
      <c r="D30" s="678"/>
      <c r="E30" s="678"/>
      <c r="F30" s="678"/>
      <c r="G30" s="678"/>
      <c r="H30" s="678"/>
    </row>
    <row r="31" spans="1:8">
      <c r="C31" s="678"/>
      <c r="D31" s="678"/>
      <c r="E31" s="678"/>
      <c r="F31" s="678"/>
      <c r="G31" s="678"/>
      <c r="H31" s="678"/>
    </row>
    <row r="32" spans="1:8">
      <c r="C32" s="678"/>
      <c r="D32" s="678"/>
      <c r="E32" s="678"/>
      <c r="F32" s="678"/>
      <c r="G32" s="678"/>
      <c r="H32" s="678"/>
    </row>
    <row r="33" spans="3:8">
      <c r="C33" s="678"/>
      <c r="D33" s="678"/>
      <c r="E33" s="678"/>
      <c r="F33" s="678"/>
      <c r="G33" s="678"/>
      <c r="H33" s="678"/>
    </row>
    <row r="34" spans="3:8">
      <c r="C34" s="678"/>
      <c r="D34" s="678"/>
      <c r="E34" s="678"/>
      <c r="F34" s="678"/>
      <c r="G34" s="678"/>
      <c r="H34" s="678"/>
    </row>
    <row r="35" spans="3:8">
      <c r="C35" s="678"/>
      <c r="D35" s="678"/>
      <c r="E35" s="678"/>
      <c r="F35" s="678"/>
      <c r="G35" s="678"/>
      <c r="H35" s="678"/>
    </row>
    <row r="36" spans="3:8">
      <c r="C36" s="678"/>
      <c r="D36" s="678"/>
      <c r="E36" s="678"/>
      <c r="F36" s="678"/>
      <c r="G36" s="678"/>
      <c r="H36" s="678"/>
    </row>
    <row r="37" spans="3:8">
      <c r="C37" s="678"/>
      <c r="D37" s="678"/>
      <c r="E37" s="678"/>
      <c r="F37" s="678"/>
      <c r="G37" s="678"/>
      <c r="H37" s="678"/>
    </row>
    <row r="38" spans="3:8">
      <c r="C38" s="678"/>
      <c r="D38" s="678"/>
      <c r="E38" s="678"/>
      <c r="F38" s="678"/>
      <c r="G38" s="678"/>
      <c r="H38" s="678"/>
    </row>
    <row r="39" spans="3:8">
      <c r="C39" s="678"/>
      <c r="D39" s="678"/>
      <c r="E39" s="678"/>
      <c r="F39" s="678"/>
      <c r="G39" s="678"/>
      <c r="H39" s="678"/>
    </row>
    <row r="40" spans="3:8">
      <c r="C40" s="678"/>
      <c r="D40" s="678"/>
      <c r="E40" s="678"/>
      <c r="F40" s="678"/>
      <c r="G40" s="678"/>
      <c r="H40" s="678"/>
    </row>
    <row r="41" spans="3:8">
      <c r="C41" s="678"/>
      <c r="D41" s="678"/>
      <c r="E41" s="678"/>
      <c r="F41" s="678"/>
      <c r="G41" s="678"/>
      <c r="H41" s="678"/>
    </row>
    <row r="42" spans="3:8">
      <c r="C42" s="678"/>
      <c r="D42" s="678"/>
      <c r="E42" s="678"/>
      <c r="F42" s="678"/>
      <c r="G42" s="678"/>
      <c r="H42" s="678"/>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63"/>
  <sheetViews>
    <sheetView showGridLines="0" zoomScaleNormal="100" workbookViewId="0"/>
  </sheetViews>
  <sheetFormatPr defaultColWidth="9.140625" defaultRowHeight="12.75"/>
  <cols>
    <col min="1" max="1" width="11" style="332" bestFit="1" customWidth="1"/>
    <col min="2" max="2" width="93.42578125" style="332" customWidth="1"/>
    <col min="3" max="4" width="35" style="332" customWidth="1"/>
    <col min="5" max="5" width="15.140625" style="332" bestFit="1" customWidth="1"/>
    <col min="6" max="6" width="11.85546875" style="332" bestFit="1" customWidth="1"/>
    <col min="7" max="7" width="22" style="332" customWidth="1"/>
    <col min="8" max="8" width="19.85546875" style="332" customWidth="1"/>
    <col min="9" max="16384" width="9.140625" style="332"/>
  </cols>
  <sheetData>
    <row r="1" spans="1:8" ht="13.5">
      <c r="A1" s="330" t="s">
        <v>30</v>
      </c>
      <c r="B1" s="405" t="str">
        <f>'Info '!C2</f>
        <v>JSC Cartu Bank</v>
      </c>
      <c r="C1" s="418"/>
      <c r="D1" s="418"/>
      <c r="E1" s="418"/>
      <c r="F1" s="418"/>
      <c r="G1" s="418"/>
      <c r="H1" s="418"/>
    </row>
    <row r="2" spans="1:8">
      <c r="A2" s="330" t="s">
        <v>31</v>
      </c>
      <c r="B2" s="677">
        <f>'1. key ratios '!B2</f>
        <v>45107</v>
      </c>
      <c r="C2" s="418"/>
      <c r="D2" s="418"/>
      <c r="E2" s="418"/>
      <c r="F2" s="418"/>
      <c r="G2" s="418"/>
      <c r="H2" s="418"/>
    </row>
    <row r="3" spans="1:8">
      <c r="A3" s="331" t="s">
        <v>434</v>
      </c>
      <c r="B3" s="418"/>
      <c r="C3" s="418"/>
      <c r="D3" s="418"/>
      <c r="E3" s="418"/>
      <c r="F3" s="418"/>
      <c r="G3" s="418"/>
      <c r="H3" s="418"/>
    </row>
    <row r="4" spans="1:8">
      <c r="A4" s="419"/>
      <c r="B4" s="418"/>
      <c r="C4" s="417" t="s">
        <v>0</v>
      </c>
      <c r="D4" s="417" t="s">
        <v>1</v>
      </c>
      <c r="E4" s="417" t="s">
        <v>2</v>
      </c>
      <c r="F4" s="417" t="s">
        <v>3</v>
      </c>
      <c r="G4" s="417" t="s">
        <v>4</v>
      </c>
      <c r="H4" s="417" t="s">
        <v>5</v>
      </c>
    </row>
    <row r="5" spans="1:8" ht="41.45" customHeight="1">
      <c r="A5" s="745" t="s">
        <v>425</v>
      </c>
      <c r="B5" s="746"/>
      <c r="C5" s="759" t="s">
        <v>426</v>
      </c>
      <c r="D5" s="759"/>
      <c r="E5" s="759" t="s">
        <v>663</v>
      </c>
      <c r="F5" s="757" t="s">
        <v>427</v>
      </c>
      <c r="G5" s="757" t="s">
        <v>428</v>
      </c>
      <c r="H5" s="415" t="s">
        <v>662</v>
      </c>
    </row>
    <row r="6" spans="1:8" ht="25.5">
      <c r="A6" s="749"/>
      <c r="B6" s="750"/>
      <c r="C6" s="416" t="s">
        <v>429</v>
      </c>
      <c r="D6" s="416" t="s">
        <v>430</v>
      </c>
      <c r="E6" s="759"/>
      <c r="F6" s="758"/>
      <c r="G6" s="758"/>
      <c r="H6" s="415" t="s">
        <v>661</v>
      </c>
    </row>
    <row r="7" spans="1:8">
      <c r="A7" s="407">
        <v>1</v>
      </c>
      <c r="B7" s="422" t="s">
        <v>522</v>
      </c>
      <c r="C7" s="522">
        <v>349412.1518327847</v>
      </c>
      <c r="D7" s="522">
        <v>282535568.79848462</v>
      </c>
      <c r="E7" s="522">
        <v>488155.23970711877</v>
      </c>
      <c r="F7" s="522"/>
      <c r="G7" s="522">
        <v>0</v>
      </c>
      <c r="H7" s="521">
        <f t="shared" ref="H7:H34" si="0">C7+D7-E7-F7</f>
        <v>282396825.71061027</v>
      </c>
    </row>
    <row r="8" spans="1:8">
      <c r="A8" s="407">
        <v>2</v>
      </c>
      <c r="B8" s="422" t="s">
        <v>435</v>
      </c>
      <c r="C8" s="522">
        <v>420318.24889134202</v>
      </c>
      <c r="D8" s="522">
        <v>406857834.37131858</v>
      </c>
      <c r="E8" s="522">
        <v>212118.06504616709</v>
      </c>
      <c r="F8" s="522"/>
      <c r="G8" s="522">
        <v>0</v>
      </c>
      <c r="H8" s="521">
        <f t="shared" si="0"/>
        <v>407066034.55516374</v>
      </c>
    </row>
    <row r="9" spans="1:8">
      <c r="A9" s="407">
        <v>3</v>
      </c>
      <c r="B9" s="422" t="s">
        <v>436</v>
      </c>
      <c r="C9" s="522">
        <v>0</v>
      </c>
      <c r="D9" s="522">
        <v>0</v>
      </c>
      <c r="E9" s="522">
        <v>0</v>
      </c>
      <c r="F9" s="522"/>
      <c r="G9" s="522">
        <v>0</v>
      </c>
      <c r="H9" s="521">
        <f t="shared" si="0"/>
        <v>0</v>
      </c>
    </row>
    <row r="10" spans="1:8">
      <c r="A10" s="407">
        <v>4</v>
      </c>
      <c r="B10" s="422" t="s">
        <v>523</v>
      </c>
      <c r="C10" s="522">
        <v>31787008.063083969</v>
      </c>
      <c r="D10" s="522">
        <v>56184855.352922611</v>
      </c>
      <c r="E10" s="522">
        <v>8191031.9059056723</v>
      </c>
      <c r="F10" s="522"/>
      <c r="G10" s="522">
        <v>0</v>
      </c>
      <c r="H10" s="521">
        <f t="shared" si="0"/>
        <v>79780831.510100901</v>
      </c>
    </row>
    <row r="11" spans="1:8">
      <c r="A11" s="407">
        <v>5</v>
      </c>
      <c r="B11" s="422" t="s">
        <v>437</v>
      </c>
      <c r="C11" s="522">
        <v>16503112.149300702</v>
      </c>
      <c r="D11" s="522">
        <v>59911871.019465625</v>
      </c>
      <c r="E11" s="522">
        <v>5790614.6136182807</v>
      </c>
      <c r="F11" s="522"/>
      <c r="G11" s="522">
        <v>0</v>
      </c>
      <c r="H11" s="521">
        <f t="shared" si="0"/>
        <v>70624368.555148035</v>
      </c>
    </row>
    <row r="12" spans="1:8">
      <c r="A12" s="407">
        <v>6</v>
      </c>
      <c r="B12" s="422" t="s">
        <v>438</v>
      </c>
      <c r="C12" s="522">
        <v>221560.75127100002</v>
      </c>
      <c r="D12" s="522">
        <v>49045213.245290302</v>
      </c>
      <c r="E12" s="522">
        <v>460012.26175733929</v>
      </c>
      <c r="F12" s="522"/>
      <c r="G12" s="522">
        <v>0</v>
      </c>
      <c r="H12" s="521">
        <f t="shared" si="0"/>
        <v>48806761.734803967</v>
      </c>
    </row>
    <row r="13" spans="1:8">
      <c r="A13" s="407">
        <v>7</v>
      </c>
      <c r="B13" s="422" t="s">
        <v>439</v>
      </c>
      <c r="C13" s="522">
        <v>5657788.7154930001</v>
      </c>
      <c r="D13" s="522">
        <v>9785973.9437792283</v>
      </c>
      <c r="E13" s="522">
        <v>2050025.1170320162</v>
      </c>
      <c r="F13" s="522"/>
      <c r="G13" s="522">
        <v>47290.418600000005</v>
      </c>
      <c r="H13" s="521">
        <f t="shared" si="0"/>
        <v>13393737.542240212</v>
      </c>
    </row>
    <row r="14" spans="1:8">
      <c r="A14" s="407">
        <v>8</v>
      </c>
      <c r="B14" s="422" t="s">
        <v>440</v>
      </c>
      <c r="C14" s="522">
        <v>6770199.1727964301</v>
      </c>
      <c r="D14" s="522">
        <v>5178293.6470003128</v>
      </c>
      <c r="E14" s="522">
        <v>2465279.4728959315</v>
      </c>
      <c r="F14" s="522"/>
      <c r="G14" s="522">
        <v>0</v>
      </c>
      <c r="H14" s="521">
        <f t="shared" si="0"/>
        <v>9483213.3469008114</v>
      </c>
    </row>
    <row r="15" spans="1:8">
      <c r="A15" s="407">
        <v>9</v>
      </c>
      <c r="B15" s="422" t="s">
        <v>441</v>
      </c>
      <c r="C15" s="522">
        <v>8084827.7813626705</v>
      </c>
      <c r="D15" s="522">
        <v>108352706.93043317</v>
      </c>
      <c r="E15" s="522">
        <v>3461877.0593659617</v>
      </c>
      <c r="F15" s="522"/>
      <c r="G15" s="522">
        <v>1079.73</v>
      </c>
      <c r="H15" s="521">
        <f t="shared" si="0"/>
        <v>112975657.65242988</v>
      </c>
    </row>
    <row r="16" spans="1:8">
      <c r="A16" s="407">
        <v>10</v>
      </c>
      <c r="B16" s="422" t="s">
        <v>442</v>
      </c>
      <c r="C16" s="522">
        <v>0</v>
      </c>
      <c r="D16" s="522">
        <v>3933118.3041421496</v>
      </c>
      <c r="E16" s="522">
        <v>2111.3213517015774</v>
      </c>
      <c r="F16" s="522"/>
      <c r="G16" s="522">
        <v>0</v>
      </c>
      <c r="H16" s="521">
        <f t="shared" si="0"/>
        <v>3931006.9827904482</v>
      </c>
    </row>
    <row r="17" spans="1:8">
      <c r="A17" s="407">
        <v>11</v>
      </c>
      <c r="B17" s="422" t="s">
        <v>443</v>
      </c>
      <c r="C17" s="522">
        <v>0</v>
      </c>
      <c r="D17" s="522">
        <v>1153585.3994112983</v>
      </c>
      <c r="E17" s="522">
        <v>304.68758476580621</v>
      </c>
      <c r="F17" s="522"/>
      <c r="G17" s="522">
        <v>0</v>
      </c>
      <c r="H17" s="521">
        <f t="shared" si="0"/>
        <v>1153280.7118265326</v>
      </c>
    </row>
    <row r="18" spans="1:8">
      <c r="A18" s="407">
        <v>12</v>
      </c>
      <c r="B18" s="422" t="s">
        <v>444</v>
      </c>
      <c r="C18" s="522">
        <v>23067164.28309463</v>
      </c>
      <c r="D18" s="522">
        <v>10628275.023943221</v>
      </c>
      <c r="E18" s="522">
        <v>5861956.0067166146</v>
      </c>
      <c r="F18" s="522"/>
      <c r="G18" s="522">
        <v>0</v>
      </c>
      <c r="H18" s="521">
        <f t="shared" si="0"/>
        <v>27833483.300321236</v>
      </c>
    </row>
    <row r="19" spans="1:8">
      <c r="A19" s="407">
        <v>13</v>
      </c>
      <c r="B19" s="422" t="s">
        <v>445</v>
      </c>
      <c r="C19" s="522">
        <v>3637391.9978995183</v>
      </c>
      <c r="D19" s="522">
        <v>21609662.893644739</v>
      </c>
      <c r="E19" s="522">
        <v>796755.92345384334</v>
      </c>
      <c r="F19" s="522"/>
      <c r="G19" s="522">
        <v>0</v>
      </c>
      <c r="H19" s="521">
        <f t="shared" si="0"/>
        <v>24450298.968090411</v>
      </c>
    </row>
    <row r="20" spans="1:8">
      <c r="A20" s="407">
        <v>14</v>
      </c>
      <c r="B20" s="422" t="s">
        <v>446</v>
      </c>
      <c r="C20" s="522">
        <v>20760999.032751132</v>
      </c>
      <c r="D20" s="522">
        <v>16044893.972291695</v>
      </c>
      <c r="E20" s="522">
        <v>2218835.2144701364</v>
      </c>
      <c r="F20" s="522"/>
      <c r="G20" s="522">
        <v>0</v>
      </c>
      <c r="H20" s="521">
        <f t="shared" si="0"/>
        <v>34587057.790572695</v>
      </c>
    </row>
    <row r="21" spans="1:8">
      <c r="A21" s="407">
        <v>15</v>
      </c>
      <c r="B21" s="422" t="s">
        <v>447</v>
      </c>
      <c r="C21" s="522">
        <v>404827.3905799787</v>
      </c>
      <c r="D21" s="522">
        <v>143526.13675775324</v>
      </c>
      <c r="E21" s="522">
        <v>34335.807962857456</v>
      </c>
      <c r="F21" s="522"/>
      <c r="G21" s="522">
        <v>0</v>
      </c>
      <c r="H21" s="521">
        <f t="shared" si="0"/>
        <v>514017.71937487443</v>
      </c>
    </row>
    <row r="22" spans="1:8">
      <c r="A22" s="407">
        <v>16</v>
      </c>
      <c r="B22" s="422" t="s">
        <v>448</v>
      </c>
      <c r="C22" s="522">
        <v>0</v>
      </c>
      <c r="D22" s="522">
        <v>70380627.206462339</v>
      </c>
      <c r="E22" s="522">
        <v>2782516.3394171218</v>
      </c>
      <c r="F22" s="522"/>
      <c r="G22" s="522">
        <v>71299.420486000003</v>
      </c>
      <c r="H22" s="521">
        <f t="shared" si="0"/>
        <v>67598110.867045224</v>
      </c>
    </row>
    <row r="23" spans="1:8">
      <c r="A23" s="407">
        <v>17</v>
      </c>
      <c r="B23" s="422" t="s">
        <v>526</v>
      </c>
      <c r="C23" s="522">
        <v>0</v>
      </c>
      <c r="D23" s="522">
        <v>17491998.312722359</v>
      </c>
      <c r="E23" s="522">
        <v>41609.986950908904</v>
      </c>
      <c r="F23" s="522"/>
      <c r="G23" s="522">
        <v>0</v>
      </c>
      <c r="H23" s="521">
        <f t="shared" si="0"/>
        <v>17450388.325771451</v>
      </c>
    </row>
    <row r="24" spans="1:8">
      <c r="A24" s="407">
        <v>18</v>
      </c>
      <c r="B24" s="422" t="s">
        <v>449</v>
      </c>
      <c r="C24" s="522">
        <v>2256277.9828420002</v>
      </c>
      <c r="D24" s="522">
        <v>1130934.9967858624</v>
      </c>
      <c r="E24" s="522">
        <v>698498.79447803111</v>
      </c>
      <c r="F24" s="522"/>
      <c r="G24" s="522">
        <v>0</v>
      </c>
      <c r="H24" s="521">
        <f t="shared" si="0"/>
        <v>2688714.1851498317</v>
      </c>
    </row>
    <row r="25" spans="1:8">
      <c r="A25" s="407">
        <v>19</v>
      </c>
      <c r="B25" s="422" t="s">
        <v>450</v>
      </c>
      <c r="C25" s="522">
        <v>0</v>
      </c>
      <c r="D25" s="522">
        <v>9403593.734196797</v>
      </c>
      <c r="E25" s="522">
        <v>37144.242458560147</v>
      </c>
      <c r="F25" s="522"/>
      <c r="G25" s="522">
        <v>0</v>
      </c>
      <c r="H25" s="521">
        <f t="shared" si="0"/>
        <v>9366449.4917382374</v>
      </c>
    </row>
    <row r="26" spans="1:8">
      <c r="A26" s="407">
        <v>20</v>
      </c>
      <c r="B26" s="422" t="s">
        <v>525</v>
      </c>
      <c r="C26" s="522">
        <v>0</v>
      </c>
      <c r="D26" s="522">
        <v>30675797.411100619</v>
      </c>
      <c r="E26" s="522">
        <v>112646.42685364082</v>
      </c>
      <c r="F26" s="522"/>
      <c r="G26" s="522">
        <v>0</v>
      </c>
      <c r="H26" s="521">
        <f t="shared" si="0"/>
        <v>30563150.984246977</v>
      </c>
    </row>
    <row r="27" spans="1:8">
      <c r="A27" s="407">
        <v>21</v>
      </c>
      <c r="B27" s="422" t="s">
        <v>451</v>
      </c>
      <c r="C27" s="522">
        <v>276.53120000000001</v>
      </c>
      <c r="D27" s="522">
        <v>1730792.7420646211</v>
      </c>
      <c r="E27" s="522">
        <v>4477.0665776644146</v>
      </c>
      <c r="F27" s="522"/>
      <c r="G27" s="522">
        <v>0</v>
      </c>
      <c r="H27" s="521">
        <f t="shared" si="0"/>
        <v>1726592.2066869568</v>
      </c>
    </row>
    <row r="28" spans="1:8">
      <c r="A28" s="407">
        <v>22</v>
      </c>
      <c r="B28" s="422" t="s">
        <v>452</v>
      </c>
      <c r="C28" s="522">
        <v>10590092.402003845</v>
      </c>
      <c r="D28" s="522">
        <v>36032925.253503241</v>
      </c>
      <c r="E28" s="522">
        <v>14059078.830664176</v>
      </c>
      <c r="F28" s="522"/>
      <c r="G28" s="522">
        <v>35815.416400000002</v>
      </c>
      <c r="H28" s="521">
        <f t="shared" si="0"/>
        <v>32563938.824842911</v>
      </c>
    </row>
    <row r="29" spans="1:8">
      <c r="A29" s="407">
        <v>23</v>
      </c>
      <c r="B29" s="422" t="s">
        <v>453</v>
      </c>
      <c r="C29" s="522">
        <v>8199449.7542830352</v>
      </c>
      <c r="D29" s="522">
        <v>56844318.089387678</v>
      </c>
      <c r="E29" s="522">
        <v>860146.88945606851</v>
      </c>
      <c r="F29" s="522"/>
      <c r="G29" s="522">
        <v>0</v>
      </c>
      <c r="H29" s="521">
        <f t="shared" si="0"/>
        <v>64183620.95421464</v>
      </c>
    </row>
    <row r="30" spans="1:8">
      <c r="A30" s="407">
        <v>24</v>
      </c>
      <c r="B30" s="422" t="s">
        <v>524</v>
      </c>
      <c r="C30" s="522">
        <v>12774381.327231999</v>
      </c>
      <c r="D30" s="522">
        <v>35796927.599970005</v>
      </c>
      <c r="E30" s="522">
        <v>6311050.291945532</v>
      </c>
      <c r="F30" s="522"/>
      <c r="G30" s="522">
        <v>261707.64</v>
      </c>
      <c r="H30" s="521">
        <f t="shared" si="0"/>
        <v>42260258.635256469</v>
      </c>
    </row>
    <row r="31" spans="1:8">
      <c r="A31" s="407">
        <v>25</v>
      </c>
      <c r="B31" s="422" t="s">
        <v>454</v>
      </c>
      <c r="C31" s="522">
        <v>5523113.3999186009</v>
      </c>
      <c r="D31" s="522">
        <v>49941035.679057889</v>
      </c>
      <c r="E31" s="522">
        <v>2276823.5062889587</v>
      </c>
      <c r="F31" s="522"/>
      <c r="G31" s="522">
        <v>1300.57</v>
      </c>
      <c r="H31" s="521">
        <f t="shared" si="0"/>
        <v>53187325.572687529</v>
      </c>
    </row>
    <row r="32" spans="1:8">
      <c r="A32" s="407">
        <v>26</v>
      </c>
      <c r="B32" s="422" t="s">
        <v>521</v>
      </c>
      <c r="C32" s="522">
        <v>92417.737099999853</v>
      </c>
      <c r="D32" s="522">
        <v>1171420.3087779991</v>
      </c>
      <c r="E32" s="522">
        <v>115582.74727555987</v>
      </c>
      <c r="F32" s="522"/>
      <c r="G32" s="522">
        <v>0</v>
      </c>
      <c r="H32" s="521">
        <f t="shared" si="0"/>
        <v>1148255.298602439</v>
      </c>
    </row>
    <row r="33" spans="1:8">
      <c r="A33" s="407">
        <v>27</v>
      </c>
      <c r="B33" s="407" t="s">
        <v>455</v>
      </c>
      <c r="C33" s="522">
        <v>922705.50910800009</v>
      </c>
      <c r="D33" s="522">
        <v>174688821.13146356</v>
      </c>
      <c r="E33" s="522">
        <v>426000.98358564306</v>
      </c>
      <c r="F33" s="522"/>
      <c r="G33" s="522">
        <v>8243.33</v>
      </c>
      <c r="H33" s="521">
        <f t="shared" si="0"/>
        <v>175185525.65698591</v>
      </c>
    </row>
    <row r="34" spans="1:8">
      <c r="A34" s="407">
        <v>28</v>
      </c>
      <c r="B34" s="411" t="s">
        <v>64</v>
      </c>
      <c r="C34" s="520">
        <f>SUM(C7:C33)</f>
        <v>158023324.38204467</v>
      </c>
      <c r="D34" s="520">
        <f>SUM(D7:D33)</f>
        <v>1516654571.5043783</v>
      </c>
      <c r="E34" s="520">
        <f>SUM(E7:E33)</f>
        <v>59758988.802820273</v>
      </c>
      <c r="F34" s="520">
        <f>SUM(F7:F33)</f>
        <v>0</v>
      </c>
      <c r="G34" s="520">
        <f>SUM(G7:G33)</f>
        <v>426736.52548600006</v>
      </c>
      <c r="H34" s="519">
        <f t="shared" si="0"/>
        <v>1614918907.0836029</v>
      </c>
    </row>
    <row r="36" spans="1:8">
      <c r="B36" s="421"/>
      <c r="C36" s="678"/>
      <c r="D36" s="678"/>
      <c r="E36" s="678"/>
      <c r="F36" s="678"/>
      <c r="G36" s="678"/>
      <c r="H36" s="678"/>
    </row>
    <row r="37" spans="1:8">
      <c r="C37" s="678"/>
      <c r="D37" s="678"/>
      <c r="E37" s="678"/>
      <c r="F37" s="678"/>
      <c r="G37" s="678"/>
      <c r="H37" s="678"/>
    </row>
    <row r="38" spans="1:8">
      <c r="C38" s="678"/>
      <c r="D38" s="678"/>
      <c r="E38" s="678"/>
      <c r="F38" s="678"/>
      <c r="G38" s="678"/>
      <c r="H38" s="678"/>
    </row>
    <row r="39" spans="1:8">
      <c r="C39" s="678"/>
      <c r="D39" s="678"/>
      <c r="E39" s="678"/>
      <c r="F39" s="678"/>
      <c r="G39" s="678"/>
      <c r="H39" s="678"/>
    </row>
    <row r="40" spans="1:8">
      <c r="C40" s="678"/>
      <c r="D40" s="678"/>
      <c r="E40" s="678"/>
      <c r="F40" s="678"/>
      <c r="G40" s="678"/>
      <c r="H40" s="678"/>
    </row>
    <row r="41" spans="1:8">
      <c r="C41" s="678"/>
      <c r="D41" s="678"/>
      <c r="E41" s="678"/>
      <c r="F41" s="678"/>
      <c r="G41" s="678"/>
      <c r="H41" s="678"/>
    </row>
    <row r="42" spans="1:8">
      <c r="C42" s="678"/>
      <c r="D42" s="678"/>
      <c r="E42" s="678"/>
      <c r="F42" s="678"/>
      <c r="G42" s="678"/>
      <c r="H42" s="678"/>
    </row>
    <row r="43" spans="1:8">
      <c r="C43" s="678"/>
      <c r="D43" s="678"/>
      <c r="E43" s="678"/>
      <c r="F43" s="678"/>
      <c r="G43" s="678"/>
      <c r="H43" s="678"/>
    </row>
    <row r="44" spans="1:8">
      <c r="C44" s="678"/>
      <c r="D44" s="678"/>
      <c r="E44" s="678"/>
      <c r="F44" s="678"/>
      <c r="G44" s="678"/>
      <c r="H44" s="678"/>
    </row>
    <row r="45" spans="1:8">
      <c r="C45" s="678"/>
      <c r="D45" s="678"/>
      <c r="E45" s="678"/>
      <c r="F45" s="678"/>
      <c r="G45" s="678"/>
      <c r="H45" s="678"/>
    </row>
    <row r="46" spans="1:8">
      <c r="C46" s="678"/>
      <c r="D46" s="678"/>
      <c r="E46" s="678"/>
      <c r="F46" s="678"/>
      <c r="G46" s="678"/>
      <c r="H46" s="678"/>
    </row>
    <row r="47" spans="1:8">
      <c r="C47" s="678"/>
      <c r="D47" s="678"/>
      <c r="E47" s="678"/>
      <c r="F47" s="678"/>
      <c r="G47" s="678"/>
      <c r="H47" s="678"/>
    </row>
    <row r="48" spans="1:8">
      <c r="C48" s="678"/>
      <c r="D48" s="678"/>
      <c r="E48" s="678"/>
      <c r="F48" s="678"/>
      <c r="G48" s="678"/>
      <c r="H48" s="678"/>
    </row>
    <row r="49" spans="3:8">
      <c r="C49" s="678"/>
      <c r="D49" s="678"/>
      <c r="E49" s="678"/>
      <c r="F49" s="678"/>
      <c r="G49" s="678"/>
      <c r="H49" s="678"/>
    </row>
    <row r="50" spans="3:8">
      <c r="C50" s="678"/>
      <c r="D50" s="678"/>
      <c r="E50" s="678"/>
      <c r="F50" s="678"/>
      <c r="G50" s="678"/>
      <c r="H50" s="678"/>
    </row>
    <row r="51" spans="3:8">
      <c r="C51" s="678"/>
      <c r="D51" s="678"/>
      <c r="E51" s="678"/>
      <c r="F51" s="678"/>
      <c r="G51" s="678"/>
      <c r="H51" s="678"/>
    </row>
    <row r="52" spans="3:8">
      <c r="C52" s="678"/>
      <c r="D52" s="678"/>
      <c r="E52" s="678"/>
      <c r="F52" s="678"/>
      <c r="G52" s="678"/>
      <c r="H52" s="678"/>
    </row>
    <row r="53" spans="3:8">
      <c r="C53" s="678"/>
      <c r="D53" s="678"/>
      <c r="E53" s="678"/>
      <c r="F53" s="678"/>
      <c r="G53" s="678"/>
      <c r="H53" s="678"/>
    </row>
    <row r="54" spans="3:8">
      <c r="C54" s="678"/>
      <c r="D54" s="678"/>
      <c r="E54" s="678"/>
      <c r="F54" s="678"/>
      <c r="G54" s="678"/>
      <c r="H54" s="678"/>
    </row>
    <row r="55" spans="3:8">
      <c r="C55" s="678"/>
      <c r="D55" s="678"/>
      <c r="E55" s="678"/>
      <c r="F55" s="678"/>
      <c r="G55" s="678"/>
      <c r="H55" s="678"/>
    </row>
    <row r="56" spans="3:8">
      <c r="C56" s="678"/>
      <c r="D56" s="678"/>
      <c r="E56" s="678"/>
      <c r="F56" s="678"/>
      <c r="G56" s="678"/>
      <c r="H56" s="678"/>
    </row>
    <row r="57" spans="3:8">
      <c r="C57" s="678"/>
      <c r="D57" s="678"/>
      <c r="E57" s="678"/>
      <c r="F57" s="678"/>
      <c r="G57" s="678"/>
      <c r="H57" s="678"/>
    </row>
    <row r="58" spans="3:8">
      <c r="C58" s="678"/>
      <c r="D58" s="678"/>
      <c r="E58" s="678"/>
      <c r="F58" s="678"/>
      <c r="G58" s="678"/>
      <c r="H58" s="678"/>
    </row>
    <row r="59" spans="3:8">
      <c r="C59" s="678"/>
      <c r="D59" s="678"/>
      <c r="E59" s="678"/>
      <c r="F59" s="678"/>
      <c r="G59" s="678"/>
      <c r="H59" s="678"/>
    </row>
    <row r="60" spans="3:8">
      <c r="C60" s="678"/>
      <c r="D60" s="678"/>
      <c r="E60" s="678"/>
      <c r="F60" s="678"/>
      <c r="G60" s="678"/>
      <c r="H60" s="678"/>
    </row>
    <row r="61" spans="3:8">
      <c r="C61" s="678"/>
      <c r="D61" s="678"/>
      <c r="E61" s="678"/>
      <c r="F61" s="678"/>
      <c r="G61" s="678"/>
      <c r="H61" s="678"/>
    </row>
    <row r="62" spans="3:8">
      <c r="C62" s="678"/>
      <c r="D62" s="678"/>
      <c r="E62" s="678"/>
      <c r="F62" s="678"/>
      <c r="G62" s="678"/>
      <c r="H62" s="678"/>
    </row>
    <row r="63" spans="3:8">
      <c r="C63" s="678"/>
      <c r="D63" s="678"/>
      <c r="E63" s="678"/>
      <c r="F63" s="678"/>
      <c r="G63" s="678"/>
      <c r="H63" s="678"/>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29"/>
  <sheetViews>
    <sheetView showGridLines="0" zoomScaleNormal="100" workbookViewId="0"/>
  </sheetViews>
  <sheetFormatPr defaultColWidth="9.140625" defaultRowHeight="12.75"/>
  <cols>
    <col min="1" max="1" width="11.85546875" style="332" bestFit="1" customWidth="1"/>
    <col min="2" max="2" width="108" style="332" bestFit="1" customWidth="1"/>
    <col min="3" max="3" width="35.5703125" style="332" customWidth="1"/>
    <col min="4" max="4" width="38.42578125" style="332" customWidth="1"/>
    <col min="5" max="16384" width="9.140625" style="332"/>
  </cols>
  <sheetData>
    <row r="1" spans="1:4" ht="13.5">
      <c r="A1" s="330" t="s">
        <v>30</v>
      </c>
      <c r="B1" s="405" t="str">
        <f>'Info '!C2</f>
        <v>JSC Cartu Bank</v>
      </c>
    </row>
    <row r="2" spans="1:4">
      <c r="A2" s="330" t="s">
        <v>31</v>
      </c>
      <c r="B2" s="677">
        <f>'1. key ratios '!B2</f>
        <v>45107</v>
      </c>
    </row>
    <row r="3" spans="1:4">
      <c r="A3" s="331" t="s">
        <v>456</v>
      </c>
    </row>
    <row r="5" spans="1:4">
      <c r="A5" s="760" t="s">
        <v>670</v>
      </c>
      <c r="B5" s="760"/>
      <c r="C5" s="404" t="s">
        <v>473</v>
      </c>
      <c r="D5" s="404" t="s">
        <v>514</v>
      </c>
    </row>
    <row r="6" spans="1:4">
      <c r="A6" s="430">
        <v>1</v>
      </c>
      <c r="B6" s="423" t="s">
        <v>669</v>
      </c>
      <c r="C6" s="524">
        <v>53711812.772207841</v>
      </c>
      <c r="D6" s="524">
        <v>238069.95563544022</v>
      </c>
    </row>
    <row r="7" spans="1:4">
      <c r="A7" s="427">
        <v>2</v>
      </c>
      <c r="B7" s="423" t="s">
        <v>668</v>
      </c>
      <c r="C7" s="524">
        <f>SUM(C8:C9)</f>
        <v>7431279.1592200873</v>
      </c>
      <c r="D7" s="524">
        <f>SUM(D8:D9)</f>
        <v>53345.590086360033</v>
      </c>
    </row>
    <row r="8" spans="1:4">
      <c r="A8" s="429">
        <v>2.1</v>
      </c>
      <c r="B8" s="428" t="s">
        <v>529</v>
      </c>
      <c r="C8" s="523">
        <v>3674869.8186440831</v>
      </c>
      <c r="D8" s="523">
        <v>53345.590086360033</v>
      </c>
    </row>
    <row r="9" spans="1:4">
      <c r="A9" s="429">
        <v>2.2000000000000002</v>
      </c>
      <c r="B9" s="428" t="s">
        <v>527</v>
      </c>
      <c r="C9" s="523">
        <v>3756409.3405760042</v>
      </c>
      <c r="D9" s="523">
        <v>0</v>
      </c>
    </row>
    <row r="10" spans="1:4">
      <c r="A10" s="430">
        <v>3</v>
      </c>
      <c r="B10" s="423" t="s">
        <v>667</v>
      </c>
      <c r="C10" s="524">
        <f>SUM(C11:C13)</f>
        <v>2774231.4413767001</v>
      </c>
      <c r="D10" s="524">
        <f>SUM(D11:D13)</f>
        <v>93.260048999991952</v>
      </c>
    </row>
    <row r="11" spans="1:4">
      <c r="A11" s="429">
        <v>3.1</v>
      </c>
      <c r="B11" s="428" t="s">
        <v>458</v>
      </c>
      <c r="C11" s="523">
        <v>418493.1954860001</v>
      </c>
      <c r="D11" s="523"/>
    </row>
    <row r="12" spans="1:4">
      <c r="A12" s="429">
        <v>3.2</v>
      </c>
      <c r="B12" s="428" t="s">
        <v>666</v>
      </c>
      <c r="C12" s="523">
        <v>1653862.8167416181</v>
      </c>
      <c r="D12" s="523">
        <v>93.260048999991952</v>
      </c>
    </row>
    <row r="13" spans="1:4">
      <c r="A13" s="429">
        <v>3.3</v>
      </c>
      <c r="B13" s="428" t="s">
        <v>528</v>
      </c>
      <c r="C13" s="523">
        <v>701875.42914908216</v>
      </c>
      <c r="D13" s="523">
        <v>0</v>
      </c>
    </row>
    <row r="14" spans="1:4">
      <c r="A14" s="427">
        <v>4</v>
      </c>
      <c r="B14" s="426" t="s">
        <v>665</v>
      </c>
      <c r="C14" s="523">
        <v>494306.2217630567</v>
      </c>
      <c r="D14" s="523">
        <v>-8.290701458690819E-12</v>
      </c>
    </row>
    <row r="15" spans="1:4">
      <c r="A15" s="424">
        <v>5</v>
      </c>
      <c r="B15" s="423" t="s">
        <v>664</v>
      </c>
      <c r="C15" s="524">
        <f>C6+C7-C10+C14</f>
        <v>58863166.711814284</v>
      </c>
      <c r="D15" s="524">
        <f>D6+D7-D10+D14</f>
        <v>291322.28567280027</v>
      </c>
    </row>
    <row r="18" spans="3:4">
      <c r="C18" s="678"/>
      <c r="D18" s="678"/>
    </row>
    <row r="19" spans="3:4">
      <c r="C19" s="678"/>
      <c r="D19" s="678"/>
    </row>
    <row r="20" spans="3:4">
      <c r="C20" s="678"/>
      <c r="D20" s="678"/>
    </row>
    <row r="21" spans="3:4">
      <c r="C21" s="678"/>
      <c r="D21" s="678"/>
    </row>
    <row r="22" spans="3:4">
      <c r="C22" s="678"/>
      <c r="D22" s="678"/>
    </row>
    <row r="23" spans="3:4">
      <c r="C23" s="678"/>
      <c r="D23" s="678"/>
    </row>
    <row r="24" spans="3:4">
      <c r="C24" s="678"/>
      <c r="D24" s="678"/>
    </row>
    <row r="25" spans="3:4">
      <c r="C25" s="678"/>
      <c r="D25" s="678"/>
    </row>
    <row r="26" spans="3:4">
      <c r="C26" s="678"/>
      <c r="D26" s="678"/>
    </row>
    <row r="27" spans="3:4">
      <c r="C27" s="678"/>
      <c r="D27" s="678"/>
    </row>
    <row r="28" spans="3:4">
      <c r="C28" s="678"/>
      <c r="D28" s="678"/>
    </row>
    <row r="29" spans="3:4">
      <c r="C29" s="678"/>
      <c r="D29" s="678"/>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2"/>
  <sheetViews>
    <sheetView showGridLines="0" zoomScaleNormal="100" workbookViewId="0"/>
  </sheetViews>
  <sheetFormatPr defaultColWidth="9.140625" defaultRowHeight="12.75"/>
  <cols>
    <col min="1" max="1" width="11.85546875" style="332" bestFit="1" customWidth="1"/>
    <col min="2" max="2" width="128.85546875" style="332" bestFit="1" customWidth="1"/>
    <col min="3" max="3" width="37" style="332" customWidth="1"/>
    <col min="4" max="4" width="50.5703125" style="332" customWidth="1"/>
    <col min="5" max="16384" width="9.140625" style="332"/>
  </cols>
  <sheetData>
    <row r="1" spans="1:4" ht="13.5">
      <c r="A1" s="330" t="s">
        <v>30</v>
      </c>
      <c r="B1" s="405" t="str">
        <f>'Info '!C2</f>
        <v>JSC Cartu Bank</v>
      </c>
    </row>
    <row r="2" spans="1:4">
      <c r="A2" s="330" t="s">
        <v>31</v>
      </c>
      <c r="B2" s="677">
        <f>'1. key ratios '!B2</f>
        <v>45107</v>
      </c>
    </row>
    <row r="3" spans="1:4">
      <c r="A3" s="331" t="s">
        <v>460</v>
      </c>
    </row>
    <row r="4" spans="1:4">
      <c r="A4" s="331"/>
    </row>
    <row r="5" spans="1:4" ht="15" customHeight="1">
      <c r="A5" s="761" t="s">
        <v>530</v>
      </c>
      <c r="B5" s="762"/>
      <c r="C5" s="765" t="s">
        <v>461</v>
      </c>
      <c r="D5" s="765" t="s">
        <v>462</v>
      </c>
    </row>
    <row r="6" spans="1:4">
      <c r="A6" s="763"/>
      <c r="B6" s="764"/>
      <c r="C6" s="765"/>
      <c r="D6" s="765"/>
    </row>
    <row r="7" spans="1:4">
      <c r="A7" s="397">
        <v>1</v>
      </c>
      <c r="B7" s="397" t="s">
        <v>457</v>
      </c>
      <c r="C7" s="524">
        <v>160897104.34937286</v>
      </c>
      <c r="D7" s="518"/>
    </row>
    <row r="8" spans="1:4">
      <c r="A8" s="425">
        <v>2</v>
      </c>
      <c r="B8" s="425" t="s">
        <v>463</v>
      </c>
      <c r="C8" s="523">
        <v>8493996.6362635065</v>
      </c>
      <c r="D8" s="518"/>
    </row>
    <row r="9" spans="1:4">
      <c r="A9" s="425">
        <v>3</v>
      </c>
      <c r="B9" s="433" t="s">
        <v>673</v>
      </c>
      <c r="C9" s="523">
        <v>2092298.3308778924</v>
      </c>
      <c r="D9" s="518"/>
    </row>
    <row r="10" spans="1:4">
      <c r="A10" s="425">
        <v>4</v>
      </c>
      <c r="B10" s="425" t="s">
        <v>464</v>
      </c>
      <c r="C10" s="523">
        <f>SUM(C11:C17)</f>
        <v>14382780.443577519</v>
      </c>
      <c r="D10" s="518"/>
    </row>
    <row r="11" spans="1:4">
      <c r="A11" s="425">
        <v>5</v>
      </c>
      <c r="B11" s="432" t="s">
        <v>672</v>
      </c>
      <c r="C11" s="523">
        <v>0</v>
      </c>
      <c r="D11" s="518"/>
    </row>
    <row r="12" spans="1:4">
      <c r="A12" s="425">
        <v>6</v>
      </c>
      <c r="B12" s="432" t="s">
        <v>465</v>
      </c>
      <c r="C12" s="523">
        <v>13084873.774219714</v>
      </c>
      <c r="D12" s="518"/>
    </row>
    <row r="13" spans="1:4">
      <c r="A13" s="425">
        <v>7</v>
      </c>
      <c r="B13" s="432" t="s">
        <v>468</v>
      </c>
      <c r="C13" s="523">
        <v>418493.1954860001</v>
      </c>
      <c r="D13" s="518"/>
    </row>
    <row r="14" spans="1:4">
      <c r="A14" s="425">
        <v>8</v>
      </c>
      <c r="B14" s="432" t="s">
        <v>466</v>
      </c>
      <c r="C14" s="523">
        <v>879413.47387180536</v>
      </c>
      <c r="D14" s="523">
        <v>879473.12</v>
      </c>
    </row>
    <row r="15" spans="1:4">
      <c r="A15" s="425">
        <v>9</v>
      </c>
      <c r="B15" s="432" t="s">
        <v>467</v>
      </c>
      <c r="C15" s="523"/>
      <c r="D15" s="523"/>
    </row>
    <row r="16" spans="1:4">
      <c r="A16" s="425">
        <v>10</v>
      </c>
      <c r="B16" s="432" t="s">
        <v>469</v>
      </c>
      <c r="C16" s="523"/>
      <c r="D16" s="523"/>
    </row>
    <row r="17" spans="1:4">
      <c r="A17" s="425">
        <v>11</v>
      </c>
      <c r="B17" s="432" t="s">
        <v>671</v>
      </c>
      <c r="C17" s="523">
        <v>0</v>
      </c>
      <c r="D17" s="518"/>
    </row>
    <row r="18" spans="1:4">
      <c r="A18" s="397">
        <v>12</v>
      </c>
      <c r="B18" s="431" t="s">
        <v>459</v>
      </c>
      <c r="C18" s="524">
        <f>C7+C8+C9-C10</f>
        <v>157100618.87293676</v>
      </c>
      <c r="D18" s="518"/>
    </row>
    <row r="21" spans="1:4">
      <c r="B21" s="330"/>
      <c r="C21" s="678"/>
      <c r="D21" s="678"/>
    </row>
    <row r="22" spans="1:4">
      <c r="B22" s="330"/>
      <c r="C22" s="678"/>
      <c r="D22" s="678"/>
    </row>
    <row r="23" spans="1:4">
      <c r="B23" s="331"/>
      <c r="C23" s="678"/>
      <c r="D23" s="678"/>
    </row>
    <row r="24" spans="1:4">
      <c r="C24" s="678"/>
      <c r="D24" s="678"/>
    </row>
    <row r="25" spans="1:4">
      <c r="C25" s="678"/>
      <c r="D25" s="678"/>
    </row>
    <row r="26" spans="1:4">
      <c r="C26" s="678"/>
      <c r="D26" s="678"/>
    </row>
    <row r="27" spans="1:4">
      <c r="C27" s="678"/>
      <c r="D27" s="678"/>
    </row>
    <row r="28" spans="1:4">
      <c r="C28" s="678"/>
      <c r="D28" s="678"/>
    </row>
    <row r="29" spans="1:4">
      <c r="C29" s="678"/>
      <c r="D29" s="678"/>
    </row>
    <row r="30" spans="1:4">
      <c r="C30" s="678"/>
      <c r="D30" s="678"/>
    </row>
    <row r="31" spans="1:4">
      <c r="C31" s="678"/>
      <c r="D31" s="678"/>
    </row>
    <row r="32" spans="1:4">
      <c r="C32" s="678"/>
      <c r="D32" s="67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1"/>
  <sheetViews>
    <sheetView showGridLines="0" zoomScaleNormal="100" workbookViewId="0"/>
  </sheetViews>
  <sheetFormatPr defaultColWidth="9.140625" defaultRowHeight="12.75"/>
  <cols>
    <col min="1" max="1" width="11.85546875" style="418" bestFit="1" customWidth="1"/>
    <col min="2" max="2" width="63.85546875" style="418" customWidth="1"/>
    <col min="3" max="3" width="15.5703125" style="418" customWidth="1"/>
    <col min="4" max="18" width="22.28515625" style="418" customWidth="1"/>
    <col min="19" max="19" width="23.28515625" style="418" bestFit="1" customWidth="1"/>
    <col min="20" max="26" width="22.28515625" style="418" customWidth="1"/>
    <col min="27" max="27" width="23.28515625" style="418" bestFit="1" customWidth="1"/>
    <col min="28" max="28" width="20" style="418" customWidth="1"/>
    <col min="29" max="16384" width="9.140625" style="418"/>
  </cols>
  <sheetData>
    <row r="1" spans="1:28" ht="13.5">
      <c r="A1" s="330" t="s">
        <v>30</v>
      </c>
      <c r="B1" s="405" t="str">
        <f>'Info '!C2</f>
        <v>JSC Cartu Bank</v>
      </c>
    </row>
    <row r="2" spans="1:28">
      <c r="A2" s="330" t="s">
        <v>31</v>
      </c>
      <c r="B2" s="677">
        <f>'1. key ratios '!B2</f>
        <v>45107</v>
      </c>
      <c r="C2" s="419"/>
    </row>
    <row r="3" spans="1:28">
      <c r="A3" s="331" t="s">
        <v>470</v>
      </c>
    </row>
    <row r="5" spans="1:28" ht="15" customHeight="1">
      <c r="A5" s="767" t="s">
        <v>685</v>
      </c>
      <c r="B5" s="768"/>
      <c r="C5" s="773" t="s">
        <v>471</v>
      </c>
      <c r="D5" s="774"/>
      <c r="E5" s="774"/>
      <c r="F5" s="774"/>
      <c r="G5" s="774"/>
      <c r="H5" s="774"/>
      <c r="I5" s="774"/>
      <c r="J5" s="774"/>
      <c r="K5" s="774"/>
      <c r="L5" s="774"/>
      <c r="M5" s="774"/>
      <c r="N5" s="774"/>
      <c r="O5" s="774"/>
      <c r="P5" s="774"/>
      <c r="Q5" s="774"/>
      <c r="R5" s="774"/>
      <c r="S5" s="774"/>
      <c r="T5" s="441"/>
      <c r="U5" s="441"/>
      <c r="V5" s="441"/>
      <c r="W5" s="441"/>
      <c r="X5" s="441"/>
      <c r="Y5" s="441"/>
      <c r="Z5" s="441"/>
      <c r="AA5" s="440"/>
      <c r="AB5" s="435"/>
    </row>
    <row r="6" spans="1:28" ht="12" customHeight="1">
      <c r="A6" s="769"/>
      <c r="B6" s="770"/>
      <c r="C6" s="775" t="s">
        <v>64</v>
      </c>
      <c r="D6" s="777" t="s">
        <v>684</v>
      </c>
      <c r="E6" s="777"/>
      <c r="F6" s="777"/>
      <c r="G6" s="777"/>
      <c r="H6" s="777" t="s">
        <v>683</v>
      </c>
      <c r="I6" s="777"/>
      <c r="J6" s="777"/>
      <c r="K6" s="777"/>
      <c r="L6" s="438"/>
      <c r="M6" s="778" t="s">
        <v>682</v>
      </c>
      <c r="N6" s="778"/>
      <c r="O6" s="778"/>
      <c r="P6" s="778"/>
      <c r="Q6" s="778"/>
      <c r="R6" s="778"/>
      <c r="S6" s="758"/>
      <c r="T6" s="439"/>
      <c r="U6" s="766" t="s">
        <v>681</v>
      </c>
      <c r="V6" s="766"/>
      <c r="W6" s="766"/>
      <c r="X6" s="766"/>
      <c r="Y6" s="766"/>
      <c r="Z6" s="766"/>
      <c r="AA6" s="759"/>
      <c r="AB6" s="438"/>
    </row>
    <row r="7" spans="1:28">
      <c r="A7" s="771"/>
      <c r="B7" s="772"/>
      <c r="C7" s="776"/>
      <c r="D7" s="437"/>
      <c r="E7" s="415" t="s">
        <v>472</v>
      </c>
      <c r="F7" s="415" t="s">
        <v>679</v>
      </c>
      <c r="G7" s="417" t="s">
        <v>680</v>
      </c>
      <c r="H7" s="419"/>
      <c r="I7" s="415" t="s">
        <v>472</v>
      </c>
      <c r="J7" s="415" t="s">
        <v>679</v>
      </c>
      <c r="K7" s="417" t="s">
        <v>680</v>
      </c>
      <c r="L7" s="436"/>
      <c r="M7" s="415" t="s">
        <v>472</v>
      </c>
      <c r="N7" s="415" t="s">
        <v>679</v>
      </c>
      <c r="O7" s="415" t="s">
        <v>678</v>
      </c>
      <c r="P7" s="415" t="s">
        <v>677</v>
      </c>
      <c r="Q7" s="415" t="s">
        <v>676</v>
      </c>
      <c r="R7" s="415" t="s">
        <v>675</v>
      </c>
      <c r="S7" s="415" t="s">
        <v>674</v>
      </c>
      <c r="T7" s="436"/>
      <c r="U7" s="415" t="s">
        <v>472</v>
      </c>
      <c r="V7" s="415" t="s">
        <v>679</v>
      </c>
      <c r="W7" s="415" t="s">
        <v>678</v>
      </c>
      <c r="X7" s="415" t="s">
        <v>677</v>
      </c>
      <c r="Y7" s="415" t="s">
        <v>676</v>
      </c>
      <c r="Z7" s="415" t="s">
        <v>675</v>
      </c>
      <c r="AA7" s="415" t="s">
        <v>674</v>
      </c>
      <c r="AB7" s="435"/>
    </row>
    <row r="8" spans="1:28">
      <c r="A8" s="434">
        <v>1</v>
      </c>
      <c r="B8" s="411" t="s">
        <v>473</v>
      </c>
      <c r="C8" s="520">
        <f>SUM(C9:C14)</f>
        <v>811813877.31585002</v>
      </c>
      <c r="D8" s="520">
        <f t="shared" ref="D8:AA8" si="0">SUM(D9:D14)</f>
        <v>617173341.00166965</v>
      </c>
      <c r="E8" s="520">
        <f t="shared" si="0"/>
        <v>3518066.4176935265</v>
      </c>
      <c r="F8" s="520">
        <f t="shared" si="0"/>
        <v>0</v>
      </c>
      <c r="G8" s="520">
        <f t="shared" si="0"/>
        <v>668433.06250237057</v>
      </c>
      <c r="H8" s="520">
        <f t="shared" si="0"/>
        <v>37539917.441244245</v>
      </c>
      <c r="I8" s="520">
        <f t="shared" si="0"/>
        <v>308276.56252260553</v>
      </c>
      <c r="J8" s="520">
        <f t="shared" si="0"/>
        <v>908773.03274525446</v>
      </c>
      <c r="K8" s="520">
        <f t="shared" si="0"/>
        <v>0</v>
      </c>
      <c r="L8" s="520">
        <f t="shared" si="0"/>
        <v>155623289.69323757</v>
      </c>
      <c r="M8" s="520">
        <f t="shared" si="0"/>
        <v>1470632.5389525429</v>
      </c>
      <c r="N8" s="520">
        <f t="shared" si="0"/>
        <v>3956932.9074339741</v>
      </c>
      <c r="O8" s="520">
        <f t="shared" si="0"/>
        <v>479459.78846911027</v>
      </c>
      <c r="P8" s="520">
        <f t="shared" si="0"/>
        <v>2974814.8742722739</v>
      </c>
      <c r="Q8" s="520">
        <f t="shared" si="0"/>
        <v>28641881.885012925</v>
      </c>
      <c r="R8" s="520">
        <f t="shared" si="0"/>
        <v>17590485.954539362</v>
      </c>
      <c r="S8" s="520">
        <f t="shared" si="0"/>
        <v>39132350.81721203</v>
      </c>
      <c r="T8" s="520">
        <f t="shared" si="0"/>
        <v>1477329.179699</v>
      </c>
      <c r="U8" s="520">
        <f t="shared" si="0"/>
        <v>0</v>
      </c>
      <c r="V8" s="520">
        <f t="shared" si="0"/>
        <v>0</v>
      </c>
      <c r="W8" s="520">
        <f t="shared" si="0"/>
        <v>0</v>
      </c>
      <c r="X8" s="520">
        <f t="shared" si="0"/>
        <v>0</v>
      </c>
      <c r="Y8" s="520">
        <f t="shared" si="0"/>
        <v>0</v>
      </c>
      <c r="Z8" s="520">
        <f t="shared" si="0"/>
        <v>0</v>
      </c>
      <c r="AA8" s="520">
        <f t="shared" si="0"/>
        <v>0</v>
      </c>
    </row>
    <row r="9" spans="1:28">
      <c r="A9" s="407">
        <v>1.1000000000000001</v>
      </c>
      <c r="B9" s="427" t="s">
        <v>474</v>
      </c>
      <c r="C9" s="517"/>
      <c r="D9" s="522"/>
      <c r="E9" s="522"/>
      <c r="F9" s="522"/>
      <c r="G9" s="522"/>
      <c r="H9" s="522"/>
      <c r="I9" s="522"/>
      <c r="J9" s="522"/>
      <c r="K9" s="522"/>
      <c r="L9" s="522"/>
      <c r="M9" s="522"/>
      <c r="N9" s="522"/>
      <c r="O9" s="522"/>
      <c r="P9" s="522"/>
      <c r="Q9" s="522"/>
      <c r="R9" s="522"/>
      <c r="S9" s="522"/>
      <c r="T9" s="522"/>
      <c r="U9" s="522"/>
      <c r="V9" s="522"/>
      <c r="W9" s="522"/>
      <c r="X9" s="522"/>
      <c r="Y9" s="522"/>
      <c r="Z9" s="522"/>
      <c r="AA9" s="522"/>
    </row>
    <row r="10" spans="1:28">
      <c r="A10" s="407">
        <v>1.2</v>
      </c>
      <c r="B10" s="427" t="s">
        <v>475</v>
      </c>
      <c r="C10" s="517"/>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row>
    <row r="11" spans="1:28">
      <c r="A11" s="407">
        <v>1.3</v>
      </c>
      <c r="B11" s="427" t="s">
        <v>476</v>
      </c>
      <c r="C11" s="517"/>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row>
    <row r="12" spans="1:28">
      <c r="A12" s="407">
        <v>1.4</v>
      </c>
      <c r="B12" s="427" t="s">
        <v>477</v>
      </c>
      <c r="C12" s="517">
        <v>0</v>
      </c>
      <c r="D12" s="522">
        <v>0</v>
      </c>
      <c r="E12" s="522">
        <v>0</v>
      </c>
      <c r="F12" s="522">
        <v>0</v>
      </c>
      <c r="G12" s="522">
        <v>0</v>
      </c>
      <c r="H12" s="522">
        <v>0</v>
      </c>
      <c r="I12" s="522">
        <v>0</v>
      </c>
      <c r="J12" s="522">
        <v>0</v>
      </c>
      <c r="K12" s="522">
        <v>0</v>
      </c>
      <c r="L12" s="522">
        <v>0</v>
      </c>
      <c r="M12" s="522">
        <v>0</v>
      </c>
      <c r="N12" s="522">
        <v>0</v>
      </c>
      <c r="O12" s="522">
        <v>0</v>
      </c>
      <c r="P12" s="522">
        <v>0</v>
      </c>
      <c r="Q12" s="522">
        <v>0</v>
      </c>
      <c r="R12" s="522">
        <v>0</v>
      </c>
      <c r="S12" s="522">
        <v>0</v>
      </c>
      <c r="T12" s="522">
        <v>0</v>
      </c>
      <c r="U12" s="522">
        <v>0</v>
      </c>
      <c r="V12" s="522">
        <v>0</v>
      </c>
      <c r="W12" s="522">
        <v>0</v>
      </c>
      <c r="X12" s="522">
        <v>0</v>
      </c>
      <c r="Y12" s="522">
        <v>0</v>
      </c>
      <c r="Z12" s="522">
        <v>0</v>
      </c>
      <c r="AA12" s="522">
        <v>0</v>
      </c>
    </row>
    <row r="13" spans="1:28">
      <c r="A13" s="407">
        <v>1.5</v>
      </c>
      <c r="B13" s="427" t="s">
        <v>478</v>
      </c>
      <c r="C13" s="517">
        <v>721412316.43943238</v>
      </c>
      <c r="D13" s="522">
        <v>549394444.10557306</v>
      </c>
      <c r="E13" s="522">
        <v>2272017.4634506488</v>
      </c>
      <c r="F13" s="522">
        <v>0</v>
      </c>
      <c r="G13" s="522">
        <v>668433.06250237057</v>
      </c>
      <c r="H13" s="522">
        <v>32922187.841677677</v>
      </c>
      <c r="I13" s="522">
        <v>145980.24498395488</v>
      </c>
      <c r="J13" s="522">
        <v>0</v>
      </c>
      <c r="K13" s="522">
        <v>0</v>
      </c>
      <c r="L13" s="522">
        <v>137618355.31248319</v>
      </c>
      <c r="M13" s="522">
        <v>757854.77455507428</v>
      </c>
      <c r="N13" s="522">
        <v>3894980.6371339741</v>
      </c>
      <c r="O13" s="522">
        <v>2.6177000000000001</v>
      </c>
      <c r="P13" s="522">
        <v>1896899.9724772733</v>
      </c>
      <c r="Q13" s="522">
        <v>27748479.900594939</v>
      </c>
      <c r="R13" s="522">
        <v>14826569.886220844</v>
      </c>
      <c r="S13" s="522">
        <v>29983891.895353023</v>
      </c>
      <c r="T13" s="522">
        <v>1477329.179699</v>
      </c>
      <c r="U13" s="522">
        <v>0</v>
      </c>
      <c r="V13" s="522">
        <v>0</v>
      </c>
      <c r="W13" s="522">
        <v>0</v>
      </c>
      <c r="X13" s="522">
        <v>0</v>
      </c>
      <c r="Y13" s="522">
        <v>0</v>
      </c>
      <c r="Z13" s="522">
        <v>0</v>
      </c>
      <c r="AA13" s="522">
        <v>0</v>
      </c>
    </row>
    <row r="14" spans="1:28">
      <c r="A14" s="407">
        <v>1.6</v>
      </c>
      <c r="B14" s="427" t="s">
        <v>479</v>
      </c>
      <c r="C14" s="517">
        <v>90401560.876417577</v>
      </c>
      <c r="D14" s="522">
        <v>67778896.896096647</v>
      </c>
      <c r="E14" s="522">
        <v>1246048.9542428774</v>
      </c>
      <c r="F14" s="522">
        <v>0</v>
      </c>
      <c r="G14" s="522">
        <v>0</v>
      </c>
      <c r="H14" s="522">
        <v>4617729.599566564</v>
      </c>
      <c r="I14" s="522">
        <v>162296.31753865065</v>
      </c>
      <c r="J14" s="522">
        <v>908773.03274525446</v>
      </c>
      <c r="K14" s="522">
        <v>0</v>
      </c>
      <c r="L14" s="522">
        <v>18004934.380754393</v>
      </c>
      <c r="M14" s="522">
        <v>712777.76439746853</v>
      </c>
      <c r="N14" s="522">
        <v>61952.270300000011</v>
      </c>
      <c r="O14" s="522">
        <v>479457.17076911026</v>
      </c>
      <c r="P14" s="522">
        <v>1077914.9017950003</v>
      </c>
      <c r="Q14" s="522">
        <v>893401.98441798752</v>
      </c>
      <c r="R14" s="522">
        <v>2763916.0683185169</v>
      </c>
      <c r="S14" s="522">
        <v>9148458.9218590036</v>
      </c>
      <c r="T14" s="522">
        <v>0</v>
      </c>
      <c r="U14" s="522">
        <v>0</v>
      </c>
      <c r="V14" s="522">
        <v>0</v>
      </c>
      <c r="W14" s="522">
        <v>0</v>
      </c>
      <c r="X14" s="522">
        <v>0</v>
      </c>
      <c r="Y14" s="522">
        <v>0</v>
      </c>
      <c r="Z14" s="522">
        <v>0</v>
      </c>
      <c r="AA14" s="522">
        <v>0</v>
      </c>
    </row>
    <row r="15" spans="1:28">
      <c r="A15" s="434">
        <v>2</v>
      </c>
      <c r="B15" s="411" t="s">
        <v>480</v>
      </c>
      <c r="C15" s="647">
        <f>SUM(C16:C21)</f>
        <v>58137399.050000004</v>
      </c>
      <c r="D15" s="647">
        <f t="shared" ref="D15:AA15" si="1">SUM(D16:D21)</f>
        <v>58137399.050000004</v>
      </c>
      <c r="E15" s="647">
        <f t="shared" si="1"/>
        <v>0</v>
      </c>
      <c r="F15" s="647">
        <f t="shared" si="1"/>
        <v>0</v>
      </c>
      <c r="G15" s="647">
        <f t="shared" si="1"/>
        <v>0</v>
      </c>
      <c r="H15" s="647">
        <f t="shared" si="1"/>
        <v>0</v>
      </c>
      <c r="I15" s="647">
        <f t="shared" si="1"/>
        <v>0</v>
      </c>
      <c r="J15" s="647">
        <f t="shared" si="1"/>
        <v>0</v>
      </c>
      <c r="K15" s="647">
        <f t="shared" si="1"/>
        <v>0</v>
      </c>
      <c r="L15" s="647">
        <f t="shared" si="1"/>
        <v>0</v>
      </c>
      <c r="M15" s="647">
        <f t="shared" si="1"/>
        <v>0</v>
      </c>
      <c r="N15" s="647">
        <f t="shared" si="1"/>
        <v>0</v>
      </c>
      <c r="O15" s="647">
        <f t="shared" si="1"/>
        <v>0</v>
      </c>
      <c r="P15" s="647">
        <f t="shared" si="1"/>
        <v>0</v>
      </c>
      <c r="Q15" s="647">
        <f t="shared" si="1"/>
        <v>0</v>
      </c>
      <c r="R15" s="647">
        <f t="shared" si="1"/>
        <v>0</v>
      </c>
      <c r="S15" s="647">
        <f t="shared" si="1"/>
        <v>0</v>
      </c>
      <c r="T15" s="647">
        <f t="shared" si="1"/>
        <v>0</v>
      </c>
      <c r="U15" s="647">
        <f t="shared" si="1"/>
        <v>0</v>
      </c>
      <c r="V15" s="647">
        <f t="shared" si="1"/>
        <v>0</v>
      </c>
      <c r="W15" s="647">
        <f t="shared" si="1"/>
        <v>0</v>
      </c>
      <c r="X15" s="647">
        <f t="shared" si="1"/>
        <v>0</v>
      </c>
      <c r="Y15" s="647">
        <f t="shared" si="1"/>
        <v>0</v>
      </c>
      <c r="Z15" s="647">
        <f t="shared" si="1"/>
        <v>0</v>
      </c>
      <c r="AA15" s="647">
        <f t="shared" si="1"/>
        <v>0</v>
      </c>
    </row>
    <row r="16" spans="1:28">
      <c r="A16" s="407">
        <v>2.1</v>
      </c>
      <c r="B16" s="427" t="s">
        <v>474</v>
      </c>
      <c r="C16" s="517"/>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row>
    <row r="17" spans="1:27">
      <c r="A17" s="407">
        <v>2.2000000000000002</v>
      </c>
      <c r="B17" s="427" t="s">
        <v>475</v>
      </c>
      <c r="C17" s="517">
        <v>29001101.760000002</v>
      </c>
      <c r="D17" s="522">
        <v>29001101.760000002</v>
      </c>
      <c r="E17" s="522"/>
      <c r="F17" s="522"/>
      <c r="G17" s="522"/>
      <c r="H17" s="522"/>
      <c r="I17" s="522"/>
      <c r="J17" s="522"/>
      <c r="K17" s="522"/>
      <c r="L17" s="522"/>
      <c r="M17" s="522"/>
      <c r="N17" s="522"/>
      <c r="O17" s="522"/>
      <c r="P17" s="522"/>
      <c r="Q17" s="522"/>
      <c r="R17" s="522"/>
      <c r="S17" s="522"/>
      <c r="T17" s="522"/>
      <c r="U17" s="522"/>
      <c r="V17" s="522"/>
      <c r="W17" s="522"/>
      <c r="X17" s="522"/>
      <c r="Y17" s="522"/>
      <c r="Z17" s="522"/>
      <c r="AA17" s="522"/>
    </row>
    <row r="18" spans="1:27">
      <c r="A18" s="407">
        <v>2.2999999999999998</v>
      </c>
      <c r="B18" s="427" t="s">
        <v>476</v>
      </c>
      <c r="C18" s="517"/>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row>
    <row r="19" spans="1:27">
      <c r="A19" s="407">
        <v>2.4</v>
      </c>
      <c r="B19" s="427" t="s">
        <v>477</v>
      </c>
      <c r="C19" s="517">
        <v>21070321.640000001</v>
      </c>
      <c r="D19" s="522">
        <v>21070321.640000001</v>
      </c>
      <c r="E19" s="522">
        <v>0</v>
      </c>
      <c r="F19" s="522">
        <v>0</v>
      </c>
      <c r="G19" s="522">
        <v>0</v>
      </c>
      <c r="H19" s="522">
        <v>0</v>
      </c>
      <c r="I19" s="522">
        <v>0</v>
      </c>
      <c r="J19" s="522">
        <v>0</v>
      </c>
      <c r="K19" s="522">
        <v>0</v>
      </c>
      <c r="L19" s="522">
        <v>0</v>
      </c>
      <c r="M19" s="522">
        <v>0</v>
      </c>
      <c r="N19" s="522">
        <v>0</v>
      </c>
      <c r="O19" s="522">
        <v>0</v>
      </c>
      <c r="P19" s="522">
        <v>0</v>
      </c>
      <c r="Q19" s="522">
        <v>0</v>
      </c>
      <c r="R19" s="522">
        <v>0</v>
      </c>
      <c r="S19" s="522">
        <v>0</v>
      </c>
      <c r="T19" s="522">
        <v>0</v>
      </c>
      <c r="U19" s="522">
        <v>0</v>
      </c>
      <c r="V19" s="522">
        <v>0</v>
      </c>
      <c r="W19" s="522">
        <v>0</v>
      </c>
      <c r="X19" s="522">
        <v>0</v>
      </c>
      <c r="Y19" s="522">
        <v>0</v>
      </c>
      <c r="Z19" s="522">
        <v>0</v>
      </c>
      <c r="AA19" s="522">
        <v>0</v>
      </c>
    </row>
    <row r="20" spans="1:27">
      <c r="A20" s="407">
        <v>2.5</v>
      </c>
      <c r="B20" s="427" t="s">
        <v>478</v>
      </c>
      <c r="C20" s="517">
        <v>8065975.6500000004</v>
      </c>
      <c r="D20" s="522">
        <v>8065975.6500000004</v>
      </c>
      <c r="E20" s="522">
        <v>0</v>
      </c>
      <c r="F20" s="522">
        <v>0</v>
      </c>
      <c r="G20" s="522">
        <v>0</v>
      </c>
      <c r="H20" s="522">
        <v>0</v>
      </c>
      <c r="I20" s="522">
        <v>0</v>
      </c>
      <c r="J20" s="522">
        <v>0</v>
      </c>
      <c r="K20" s="522">
        <v>0</v>
      </c>
      <c r="L20" s="522">
        <v>0</v>
      </c>
      <c r="M20" s="522">
        <v>0</v>
      </c>
      <c r="N20" s="522">
        <v>0</v>
      </c>
      <c r="O20" s="522">
        <v>0</v>
      </c>
      <c r="P20" s="522">
        <v>0</v>
      </c>
      <c r="Q20" s="522">
        <v>0</v>
      </c>
      <c r="R20" s="522">
        <v>0</v>
      </c>
      <c r="S20" s="522">
        <v>0</v>
      </c>
      <c r="T20" s="522">
        <v>0</v>
      </c>
      <c r="U20" s="522">
        <v>0</v>
      </c>
      <c r="V20" s="522">
        <v>0</v>
      </c>
      <c r="W20" s="522">
        <v>0</v>
      </c>
      <c r="X20" s="522">
        <v>0</v>
      </c>
      <c r="Y20" s="522">
        <v>0</v>
      </c>
      <c r="Z20" s="522">
        <v>0</v>
      </c>
      <c r="AA20" s="522">
        <v>0</v>
      </c>
    </row>
    <row r="21" spans="1:27">
      <c r="A21" s="407">
        <v>2.6</v>
      </c>
      <c r="B21" s="427" t="s">
        <v>479</v>
      </c>
      <c r="C21" s="517"/>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row>
    <row r="22" spans="1:27">
      <c r="A22" s="434">
        <v>3</v>
      </c>
      <c r="B22" s="411" t="s">
        <v>520</v>
      </c>
      <c r="C22" s="647">
        <f>SUM(C23:C28)</f>
        <v>86110287.72680001</v>
      </c>
      <c r="D22" s="647">
        <f>SUM(D23:D28)</f>
        <v>82309857.806800008</v>
      </c>
      <c r="E22" s="516"/>
      <c r="F22" s="516"/>
      <c r="G22" s="516"/>
      <c r="H22" s="647">
        <f>SUM(H23:H28)</f>
        <v>71350.110000000015</v>
      </c>
      <c r="I22" s="516"/>
      <c r="J22" s="516"/>
      <c r="K22" s="516"/>
      <c r="L22" s="647">
        <f>SUM(L23:L28)</f>
        <v>3729079.81</v>
      </c>
      <c r="M22" s="516"/>
      <c r="N22" s="516"/>
      <c r="O22" s="516"/>
      <c r="P22" s="516"/>
      <c r="Q22" s="516"/>
      <c r="R22" s="516"/>
      <c r="S22" s="516"/>
      <c r="T22" s="647">
        <f>SUM(T23:T28)</f>
        <v>0</v>
      </c>
      <c r="U22" s="516"/>
      <c r="V22" s="516"/>
      <c r="W22" s="516"/>
      <c r="X22" s="516"/>
      <c r="Y22" s="516"/>
      <c r="Z22" s="516"/>
      <c r="AA22" s="516"/>
    </row>
    <row r="23" spans="1:27">
      <c r="A23" s="407">
        <v>3.1</v>
      </c>
      <c r="B23" s="427" t="s">
        <v>474</v>
      </c>
      <c r="C23" s="517"/>
      <c r="D23" s="520"/>
      <c r="E23" s="516"/>
      <c r="F23" s="516"/>
      <c r="G23" s="516"/>
      <c r="H23" s="520"/>
      <c r="I23" s="516"/>
      <c r="J23" s="516"/>
      <c r="K23" s="516"/>
      <c r="L23" s="520"/>
      <c r="M23" s="516"/>
      <c r="N23" s="516"/>
      <c r="O23" s="516"/>
      <c r="P23" s="516"/>
      <c r="Q23" s="516"/>
      <c r="R23" s="516"/>
      <c r="S23" s="516"/>
      <c r="T23" s="520"/>
      <c r="U23" s="516"/>
      <c r="V23" s="516"/>
      <c r="W23" s="516"/>
      <c r="X23" s="516"/>
      <c r="Y23" s="516"/>
      <c r="Z23" s="516"/>
      <c r="AA23" s="516"/>
    </row>
    <row r="24" spans="1:27">
      <c r="A24" s="407">
        <v>3.2</v>
      </c>
      <c r="B24" s="427" t="s">
        <v>475</v>
      </c>
      <c r="C24" s="517"/>
      <c r="D24" s="520"/>
      <c r="E24" s="516"/>
      <c r="F24" s="516"/>
      <c r="G24" s="516"/>
      <c r="H24" s="520"/>
      <c r="I24" s="516"/>
      <c r="J24" s="516"/>
      <c r="K24" s="516"/>
      <c r="L24" s="520"/>
      <c r="M24" s="516"/>
      <c r="N24" s="516"/>
      <c r="O24" s="516"/>
      <c r="P24" s="516"/>
      <c r="Q24" s="516"/>
      <c r="R24" s="516"/>
      <c r="S24" s="516"/>
      <c r="T24" s="520"/>
      <c r="U24" s="516"/>
      <c r="V24" s="516"/>
      <c r="W24" s="516"/>
      <c r="X24" s="516"/>
      <c r="Y24" s="516"/>
      <c r="Z24" s="516"/>
      <c r="AA24" s="516"/>
    </row>
    <row r="25" spans="1:27">
      <c r="A25" s="407">
        <v>3.3</v>
      </c>
      <c r="B25" s="427" t="s">
        <v>476</v>
      </c>
      <c r="C25" s="517"/>
      <c r="D25" s="520"/>
      <c r="E25" s="516"/>
      <c r="F25" s="516"/>
      <c r="G25" s="516"/>
      <c r="H25" s="520"/>
      <c r="I25" s="516"/>
      <c r="J25" s="516"/>
      <c r="K25" s="516"/>
      <c r="L25" s="520"/>
      <c r="M25" s="516"/>
      <c r="N25" s="516"/>
      <c r="O25" s="516"/>
      <c r="P25" s="516"/>
      <c r="Q25" s="516"/>
      <c r="R25" s="516"/>
      <c r="S25" s="516"/>
      <c r="T25" s="520"/>
      <c r="U25" s="516"/>
      <c r="V25" s="516"/>
      <c r="W25" s="516"/>
      <c r="X25" s="516"/>
      <c r="Y25" s="516"/>
      <c r="Z25" s="516"/>
      <c r="AA25" s="516"/>
    </row>
    <row r="26" spans="1:27">
      <c r="A26" s="407">
        <v>3.4</v>
      </c>
      <c r="B26" s="427" t="s">
        <v>477</v>
      </c>
      <c r="C26" s="517">
        <v>10084893.689999999</v>
      </c>
      <c r="D26" s="522">
        <v>10084893.689999999</v>
      </c>
      <c r="E26" s="515"/>
      <c r="F26" s="515"/>
      <c r="G26" s="515"/>
      <c r="H26" s="522">
        <v>0</v>
      </c>
      <c r="I26" s="515"/>
      <c r="J26" s="515"/>
      <c r="K26" s="515"/>
      <c r="L26" s="522">
        <v>0</v>
      </c>
      <c r="M26" s="515"/>
      <c r="N26" s="515"/>
      <c r="O26" s="515"/>
      <c r="P26" s="515"/>
      <c r="Q26" s="515"/>
      <c r="R26" s="515"/>
      <c r="S26" s="515"/>
      <c r="T26" s="522">
        <v>0</v>
      </c>
      <c r="U26" s="516"/>
      <c r="V26" s="516"/>
      <c r="W26" s="516"/>
      <c r="X26" s="516"/>
      <c r="Y26" s="516"/>
      <c r="Z26" s="516"/>
      <c r="AA26" s="516"/>
    </row>
    <row r="27" spans="1:27">
      <c r="A27" s="407">
        <v>3.5</v>
      </c>
      <c r="B27" s="427" t="s">
        <v>478</v>
      </c>
      <c r="C27" s="517">
        <v>73568154.750000015</v>
      </c>
      <c r="D27" s="522">
        <v>69793967.700000018</v>
      </c>
      <c r="E27" s="515"/>
      <c r="F27" s="515"/>
      <c r="G27" s="515"/>
      <c r="H27" s="522">
        <v>45115.12</v>
      </c>
      <c r="I27" s="515"/>
      <c r="J27" s="515"/>
      <c r="K27" s="515"/>
      <c r="L27" s="522">
        <v>3729071.93</v>
      </c>
      <c r="M27" s="515"/>
      <c r="N27" s="515"/>
      <c r="O27" s="515"/>
      <c r="P27" s="515"/>
      <c r="Q27" s="515"/>
      <c r="R27" s="515"/>
      <c r="S27" s="515"/>
      <c r="T27" s="522">
        <v>0</v>
      </c>
      <c r="U27" s="516"/>
      <c r="V27" s="516"/>
      <c r="W27" s="516"/>
      <c r="X27" s="516"/>
      <c r="Y27" s="516"/>
      <c r="Z27" s="516"/>
      <c r="AA27" s="516"/>
    </row>
    <row r="28" spans="1:27">
      <c r="A28" s="407">
        <v>3.6</v>
      </c>
      <c r="B28" s="427" t="s">
        <v>479</v>
      </c>
      <c r="C28" s="517">
        <v>2457239.2867999976</v>
      </c>
      <c r="D28" s="522">
        <v>2430996.416799997</v>
      </c>
      <c r="E28" s="515"/>
      <c r="F28" s="515"/>
      <c r="G28" s="515"/>
      <c r="H28" s="522">
        <v>26234.990000000005</v>
      </c>
      <c r="I28" s="515"/>
      <c r="J28" s="515"/>
      <c r="K28" s="515"/>
      <c r="L28" s="522">
        <v>7.8800000000000239</v>
      </c>
      <c r="M28" s="515"/>
      <c r="N28" s="515"/>
      <c r="O28" s="515"/>
      <c r="P28" s="515"/>
      <c r="Q28" s="515"/>
      <c r="R28" s="515"/>
      <c r="S28" s="515"/>
      <c r="T28" s="522">
        <v>0</v>
      </c>
      <c r="U28" s="516"/>
      <c r="V28" s="516"/>
      <c r="W28" s="516"/>
      <c r="X28" s="516"/>
      <c r="Y28" s="516"/>
      <c r="Z28" s="516"/>
      <c r="AA28" s="516"/>
    </row>
    <row r="31" spans="1:27">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row>
    <row r="32" spans="1:27">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row>
    <row r="33" spans="3:27">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row>
    <row r="34" spans="3:27">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row>
    <row r="35" spans="3:27">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row>
    <row r="36" spans="3:27">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8"/>
    </row>
    <row r="37" spans="3:27">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row>
    <row r="38" spans="3:27">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row>
    <row r="39" spans="3:27">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row>
    <row r="40" spans="3:27">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row>
    <row r="41" spans="3:27">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row>
    <row r="42" spans="3:27">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row>
    <row r="43" spans="3:27">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row>
    <row r="44" spans="3:27">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row>
    <row r="45" spans="3:27">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row>
    <row r="46" spans="3:2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row>
    <row r="47" spans="3:27">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row>
    <row r="48" spans="3:27">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row>
    <row r="49" spans="3:27">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row>
    <row r="50" spans="3:27">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row>
    <row r="51" spans="3:27">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39"/>
  <sheetViews>
    <sheetView showGridLines="0" zoomScaleNormal="100" workbookViewId="0"/>
  </sheetViews>
  <sheetFormatPr defaultColWidth="9.140625" defaultRowHeight="12.75"/>
  <cols>
    <col min="1" max="1" width="11.85546875" style="418" bestFit="1" customWidth="1"/>
    <col min="2" max="2" width="90.28515625" style="418" bestFit="1" customWidth="1"/>
    <col min="3" max="3" width="20.140625" style="418" customWidth="1"/>
    <col min="4" max="4" width="22.28515625" style="418" customWidth="1"/>
    <col min="5" max="7" width="17.140625" style="418" customWidth="1"/>
    <col min="8" max="8" width="22.28515625" style="418" customWidth="1"/>
    <col min="9" max="10" width="17.140625" style="418" customWidth="1"/>
    <col min="11" max="27" width="22.28515625" style="418" customWidth="1"/>
    <col min="28" max="16384" width="9.140625" style="418"/>
  </cols>
  <sheetData>
    <row r="1" spans="1:27" ht="13.5">
      <c r="A1" s="330" t="s">
        <v>30</v>
      </c>
      <c r="B1" s="405" t="str">
        <f>'Info '!C2</f>
        <v>JSC Cartu Bank</v>
      </c>
    </row>
    <row r="2" spans="1:27">
      <c r="A2" s="330" t="s">
        <v>31</v>
      </c>
      <c r="B2" s="677">
        <f>'1. key ratios '!B2</f>
        <v>45107</v>
      </c>
    </row>
    <row r="3" spans="1:27">
      <c r="A3" s="331" t="s">
        <v>482</v>
      </c>
      <c r="C3" s="420"/>
    </row>
    <row r="4" spans="1:27" ht="13.5" thickBot="1">
      <c r="A4" s="331"/>
      <c r="B4" s="420"/>
      <c r="C4" s="420"/>
    </row>
    <row r="5" spans="1:27" ht="13.5" customHeight="1">
      <c r="A5" s="779" t="s">
        <v>688</v>
      </c>
      <c r="B5" s="780"/>
      <c r="C5" s="788" t="s">
        <v>687</v>
      </c>
      <c r="D5" s="789"/>
      <c r="E5" s="789"/>
      <c r="F5" s="789"/>
      <c r="G5" s="789"/>
      <c r="H5" s="789"/>
      <c r="I5" s="789"/>
      <c r="J5" s="789"/>
      <c r="K5" s="789"/>
      <c r="L5" s="789"/>
      <c r="M5" s="789"/>
      <c r="N5" s="789"/>
      <c r="O5" s="789"/>
      <c r="P5" s="789"/>
      <c r="Q5" s="789"/>
      <c r="R5" s="789"/>
      <c r="S5" s="790"/>
      <c r="T5" s="441"/>
      <c r="U5" s="441"/>
      <c r="V5" s="441"/>
      <c r="W5" s="441"/>
      <c r="X5" s="441"/>
      <c r="Y5" s="441"/>
      <c r="Z5" s="441"/>
      <c r="AA5" s="440"/>
    </row>
    <row r="6" spans="1:27" ht="12" customHeight="1">
      <c r="A6" s="781"/>
      <c r="B6" s="782"/>
      <c r="C6" s="785" t="s">
        <v>64</v>
      </c>
      <c r="D6" s="777" t="s">
        <v>684</v>
      </c>
      <c r="E6" s="777"/>
      <c r="F6" s="777"/>
      <c r="G6" s="777"/>
      <c r="H6" s="777" t="s">
        <v>683</v>
      </c>
      <c r="I6" s="777"/>
      <c r="J6" s="777"/>
      <c r="K6" s="777"/>
      <c r="L6" s="438"/>
      <c r="M6" s="778" t="s">
        <v>682</v>
      </c>
      <c r="N6" s="778"/>
      <c r="O6" s="778"/>
      <c r="P6" s="778"/>
      <c r="Q6" s="778"/>
      <c r="R6" s="778"/>
      <c r="S6" s="787"/>
      <c r="T6" s="441"/>
      <c r="U6" s="766" t="s">
        <v>681</v>
      </c>
      <c r="V6" s="766"/>
      <c r="W6" s="766"/>
      <c r="X6" s="766"/>
      <c r="Y6" s="766"/>
      <c r="Z6" s="766"/>
      <c r="AA6" s="759"/>
    </row>
    <row r="7" spans="1:27" ht="25.5">
      <c r="A7" s="783"/>
      <c r="B7" s="784"/>
      <c r="C7" s="786"/>
      <c r="D7" s="437"/>
      <c r="E7" s="415" t="s">
        <v>472</v>
      </c>
      <c r="F7" s="415" t="s">
        <v>679</v>
      </c>
      <c r="G7" s="417" t="s">
        <v>680</v>
      </c>
      <c r="H7" s="419"/>
      <c r="I7" s="415" t="s">
        <v>472</v>
      </c>
      <c r="J7" s="415" t="s">
        <v>679</v>
      </c>
      <c r="K7" s="417" t="s">
        <v>680</v>
      </c>
      <c r="L7" s="436"/>
      <c r="M7" s="415" t="s">
        <v>472</v>
      </c>
      <c r="N7" s="415" t="s">
        <v>679</v>
      </c>
      <c r="O7" s="415" t="s">
        <v>678</v>
      </c>
      <c r="P7" s="415" t="s">
        <v>677</v>
      </c>
      <c r="Q7" s="415" t="s">
        <v>676</v>
      </c>
      <c r="R7" s="415" t="s">
        <v>675</v>
      </c>
      <c r="S7" s="462" t="s">
        <v>674</v>
      </c>
      <c r="T7" s="461"/>
      <c r="U7" s="415" t="s">
        <v>472</v>
      </c>
      <c r="V7" s="415" t="s">
        <v>679</v>
      </c>
      <c r="W7" s="415" t="s">
        <v>678</v>
      </c>
      <c r="X7" s="415" t="s">
        <v>677</v>
      </c>
      <c r="Y7" s="415" t="s">
        <v>676</v>
      </c>
      <c r="Z7" s="415" t="s">
        <v>675</v>
      </c>
      <c r="AA7" s="415" t="s">
        <v>674</v>
      </c>
    </row>
    <row r="8" spans="1:27">
      <c r="A8" s="460">
        <v>1</v>
      </c>
      <c r="B8" s="459" t="s">
        <v>473</v>
      </c>
      <c r="C8" s="649">
        <v>811813877.31585073</v>
      </c>
      <c r="D8" s="522">
        <v>617173341.00166976</v>
      </c>
      <c r="E8" s="522">
        <v>3518066.4176935265</v>
      </c>
      <c r="F8" s="522">
        <v>0</v>
      </c>
      <c r="G8" s="522">
        <v>668433.06250237057</v>
      </c>
      <c r="H8" s="522">
        <v>37539917.441244222</v>
      </c>
      <c r="I8" s="522">
        <v>308276.56252260553</v>
      </c>
      <c r="J8" s="522">
        <v>908773.03274525446</v>
      </c>
      <c r="K8" s="522">
        <v>0</v>
      </c>
      <c r="L8" s="522">
        <v>155623289.69323748</v>
      </c>
      <c r="M8" s="522">
        <v>1470632.5389525429</v>
      </c>
      <c r="N8" s="522">
        <v>3956932.9074339732</v>
      </c>
      <c r="O8" s="522">
        <v>479459.78846911027</v>
      </c>
      <c r="P8" s="522">
        <v>2974814.8742722725</v>
      </c>
      <c r="Q8" s="522">
        <v>28641881.885012925</v>
      </c>
      <c r="R8" s="522">
        <v>17590485.954539392</v>
      </c>
      <c r="S8" s="514">
        <v>39132350.817211948</v>
      </c>
      <c r="T8" s="513">
        <v>1477329.179699</v>
      </c>
      <c r="U8" s="522">
        <v>0</v>
      </c>
      <c r="V8" s="522">
        <v>0</v>
      </c>
      <c r="W8" s="522">
        <v>0</v>
      </c>
      <c r="X8" s="522">
        <v>0</v>
      </c>
      <c r="Y8" s="522">
        <v>0</v>
      </c>
      <c r="Z8" s="522">
        <v>0</v>
      </c>
      <c r="AA8" s="514">
        <v>0</v>
      </c>
    </row>
    <row r="9" spans="1:27">
      <c r="A9" s="452">
        <v>1.1000000000000001</v>
      </c>
      <c r="B9" s="458" t="s">
        <v>483</v>
      </c>
      <c r="C9" s="650">
        <v>809151076.87529242</v>
      </c>
      <c r="D9" s="522">
        <v>615271760.09210181</v>
      </c>
      <c r="E9" s="522">
        <v>3518066.4176935265</v>
      </c>
      <c r="F9" s="522">
        <v>0</v>
      </c>
      <c r="G9" s="522">
        <v>668433.06250237057</v>
      </c>
      <c r="H9" s="522">
        <v>37531322.430947699</v>
      </c>
      <c r="I9" s="522">
        <v>308276.56252260553</v>
      </c>
      <c r="J9" s="522">
        <v>908773.03274525446</v>
      </c>
      <c r="K9" s="522">
        <v>0</v>
      </c>
      <c r="L9" s="522">
        <v>154870665.17254362</v>
      </c>
      <c r="M9" s="522">
        <v>1470632.5389525429</v>
      </c>
      <c r="N9" s="522">
        <v>3953167.3036339739</v>
      </c>
      <c r="O9" s="522">
        <v>477258.12396911025</v>
      </c>
      <c r="P9" s="522">
        <v>2897976.1647722735</v>
      </c>
      <c r="Q9" s="522">
        <v>28604536.61331293</v>
      </c>
      <c r="R9" s="522">
        <v>17195805.603433367</v>
      </c>
      <c r="S9" s="514">
        <v>38944369.365423992</v>
      </c>
      <c r="T9" s="513">
        <v>1477329.179699</v>
      </c>
      <c r="U9" s="522">
        <v>0</v>
      </c>
      <c r="V9" s="522">
        <v>0</v>
      </c>
      <c r="W9" s="522">
        <v>0</v>
      </c>
      <c r="X9" s="522">
        <v>0</v>
      </c>
      <c r="Y9" s="522">
        <v>0</v>
      </c>
      <c r="Z9" s="522">
        <v>0</v>
      </c>
      <c r="AA9" s="514">
        <v>0</v>
      </c>
    </row>
    <row r="10" spans="1:27">
      <c r="A10" s="456" t="s">
        <v>14</v>
      </c>
      <c r="B10" s="457" t="s">
        <v>484</v>
      </c>
      <c r="C10" s="651">
        <v>735920547.99462366</v>
      </c>
      <c r="D10" s="522">
        <v>562012010.3826586</v>
      </c>
      <c r="E10" s="522">
        <v>3490417.1976935263</v>
      </c>
      <c r="F10" s="522">
        <v>0</v>
      </c>
      <c r="G10" s="522">
        <v>668433.06250237057</v>
      </c>
      <c r="H10" s="522">
        <v>37531322.430947699</v>
      </c>
      <c r="I10" s="522">
        <v>308276.56252260553</v>
      </c>
      <c r="J10" s="522">
        <v>908773.03274525446</v>
      </c>
      <c r="K10" s="522">
        <v>0</v>
      </c>
      <c r="L10" s="522">
        <v>134899886.00131851</v>
      </c>
      <c r="M10" s="522">
        <v>1470632.5389525429</v>
      </c>
      <c r="N10" s="522">
        <v>3177676.5920072352</v>
      </c>
      <c r="O10" s="522">
        <v>477258.12396911025</v>
      </c>
      <c r="P10" s="522">
        <v>2897976.1647722735</v>
      </c>
      <c r="Q10" s="522">
        <v>28538069.69049805</v>
      </c>
      <c r="R10" s="522">
        <v>14956250.563433368</v>
      </c>
      <c r="S10" s="514">
        <v>32636332.467716996</v>
      </c>
      <c r="T10" s="513">
        <v>1477329.179699</v>
      </c>
      <c r="U10" s="522">
        <v>0</v>
      </c>
      <c r="V10" s="522">
        <v>0</v>
      </c>
      <c r="W10" s="522">
        <v>0</v>
      </c>
      <c r="X10" s="522">
        <v>0</v>
      </c>
      <c r="Y10" s="522">
        <v>0</v>
      </c>
      <c r="Z10" s="522">
        <v>0</v>
      </c>
      <c r="AA10" s="514">
        <v>0</v>
      </c>
    </row>
    <row r="11" spans="1:27">
      <c r="A11" s="454" t="s">
        <v>485</v>
      </c>
      <c r="B11" s="455" t="s">
        <v>486</v>
      </c>
      <c r="C11" s="652">
        <v>289534580.00514585</v>
      </c>
      <c r="D11" s="522">
        <v>207256024.21785733</v>
      </c>
      <c r="E11" s="522">
        <v>2689001.6988115259</v>
      </c>
      <c r="F11" s="522">
        <v>0</v>
      </c>
      <c r="G11" s="522">
        <v>0</v>
      </c>
      <c r="H11" s="522">
        <v>20607537.196759153</v>
      </c>
      <c r="I11" s="522">
        <v>177585.38512987815</v>
      </c>
      <c r="J11" s="522">
        <v>139170.38733186407</v>
      </c>
      <c r="K11" s="522">
        <v>0</v>
      </c>
      <c r="L11" s="522">
        <v>60193689.41083084</v>
      </c>
      <c r="M11" s="522">
        <v>1470632.5389525429</v>
      </c>
      <c r="N11" s="522">
        <v>262908.38458178483</v>
      </c>
      <c r="O11" s="522">
        <v>477258.12396911025</v>
      </c>
      <c r="P11" s="522">
        <v>1406012.1690749789</v>
      </c>
      <c r="Q11" s="522">
        <v>354931.62640110822</v>
      </c>
      <c r="R11" s="522">
        <v>7650095.0915438505</v>
      </c>
      <c r="S11" s="514">
        <v>9923054.3259210009</v>
      </c>
      <c r="T11" s="513">
        <v>1477329.179699</v>
      </c>
      <c r="U11" s="522">
        <v>0</v>
      </c>
      <c r="V11" s="522">
        <v>0</v>
      </c>
      <c r="W11" s="522">
        <v>0</v>
      </c>
      <c r="X11" s="522">
        <v>0</v>
      </c>
      <c r="Y11" s="522">
        <v>0</v>
      </c>
      <c r="Z11" s="522">
        <v>0</v>
      </c>
      <c r="AA11" s="514">
        <v>0</v>
      </c>
    </row>
    <row r="12" spans="1:27">
      <c r="A12" s="454" t="s">
        <v>487</v>
      </c>
      <c r="B12" s="455" t="s">
        <v>488</v>
      </c>
      <c r="C12" s="652">
        <v>42566062.584537633</v>
      </c>
      <c r="D12" s="522">
        <v>29695168.512560703</v>
      </c>
      <c r="E12" s="522">
        <v>0</v>
      </c>
      <c r="F12" s="522">
        <v>0</v>
      </c>
      <c r="G12" s="522">
        <v>0</v>
      </c>
      <c r="H12" s="522">
        <v>2694651.0234154104</v>
      </c>
      <c r="I12" s="522">
        <v>0</v>
      </c>
      <c r="J12" s="522">
        <v>0</v>
      </c>
      <c r="K12" s="522">
        <v>0</v>
      </c>
      <c r="L12" s="522">
        <v>10176243.048561515</v>
      </c>
      <c r="M12" s="522">
        <v>0</v>
      </c>
      <c r="N12" s="522">
        <v>0</v>
      </c>
      <c r="O12" s="522">
        <v>0</v>
      </c>
      <c r="P12" s="522">
        <v>0</v>
      </c>
      <c r="Q12" s="522">
        <v>2367184.1674137441</v>
      </c>
      <c r="R12" s="522">
        <v>1042606.123294</v>
      </c>
      <c r="S12" s="514">
        <v>0</v>
      </c>
      <c r="T12" s="513">
        <v>0</v>
      </c>
      <c r="U12" s="522">
        <v>0</v>
      </c>
      <c r="V12" s="522">
        <v>0</v>
      </c>
      <c r="W12" s="522">
        <v>0</v>
      </c>
      <c r="X12" s="522">
        <v>0</v>
      </c>
      <c r="Y12" s="522">
        <v>0</v>
      </c>
      <c r="Z12" s="522">
        <v>0</v>
      </c>
      <c r="AA12" s="514">
        <v>0</v>
      </c>
    </row>
    <row r="13" spans="1:27">
      <c r="A13" s="454" t="s">
        <v>489</v>
      </c>
      <c r="B13" s="455" t="s">
        <v>490</v>
      </c>
      <c r="C13" s="652">
        <v>108687544.66586408</v>
      </c>
      <c r="D13" s="522">
        <v>63703840.564813271</v>
      </c>
      <c r="E13" s="522">
        <v>0</v>
      </c>
      <c r="F13" s="522">
        <v>0</v>
      </c>
      <c r="G13" s="522">
        <v>0</v>
      </c>
      <c r="H13" s="522">
        <v>5617443.7107731616</v>
      </c>
      <c r="I13" s="522">
        <v>130691.17739272739</v>
      </c>
      <c r="J13" s="522">
        <v>769602.64541339036</v>
      </c>
      <c r="K13" s="522">
        <v>0</v>
      </c>
      <c r="L13" s="522">
        <v>39366260.390277617</v>
      </c>
      <c r="M13" s="522">
        <v>0</v>
      </c>
      <c r="N13" s="522">
        <v>0</v>
      </c>
      <c r="O13" s="522">
        <v>0</v>
      </c>
      <c r="P13" s="522">
        <v>0</v>
      </c>
      <c r="Q13" s="522">
        <v>19186519.490130611</v>
      </c>
      <c r="R13" s="522">
        <v>2613191.3258739999</v>
      </c>
      <c r="S13" s="514">
        <v>17566549.574273001</v>
      </c>
      <c r="T13" s="513">
        <v>0</v>
      </c>
      <c r="U13" s="522">
        <v>0</v>
      </c>
      <c r="V13" s="522">
        <v>0</v>
      </c>
      <c r="W13" s="522">
        <v>0</v>
      </c>
      <c r="X13" s="522">
        <v>0</v>
      </c>
      <c r="Y13" s="522">
        <v>0</v>
      </c>
      <c r="Z13" s="522">
        <v>0</v>
      </c>
      <c r="AA13" s="514">
        <v>0</v>
      </c>
    </row>
    <row r="14" spans="1:27">
      <c r="A14" s="454" t="s">
        <v>491</v>
      </c>
      <c r="B14" s="455" t="s">
        <v>492</v>
      </c>
      <c r="C14" s="652">
        <v>295132360.73907584</v>
      </c>
      <c r="D14" s="522">
        <v>261356977.0874275</v>
      </c>
      <c r="E14" s="522">
        <v>801415.49888199999</v>
      </c>
      <c r="F14" s="522">
        <v>0</v>
      </c>
      <c r="G14" s="522">
        <v>668433.06250237057</v>
      </c>
      <c r="H14" s="522">
        <v>8611690.5</v>
      </c>
      <c r="I14" s="522">
        <v>0</v>
      </c>
      <c r="J14" s="522">
        <v>0</v>
      </c>
      <c r="K14" s="522">
        <v>0</v>
      </c>
      <c r="L14" s="522">
        <v>25163693.151648521</v>
      </c>
      <c r="M14" s="522">
        <v>0</v>
      </c>
      <c r="N14" s="522">
        <v>2914768.2074254504</v>
      </c>
      <c r="O14" s="522">
        <v>0</v>
      </c>
      <c r="P14" s="522">
        <v>1491963.9956972946</v>
      </c>
      <c r="Q14" s="522">
        <v>6629434.4065525802</v>
      </c>
      <c r="R14" s="522">
        <v>3650358.0227215174</v>
      </c>
      <c r="S14" s="514">
        <v>5146728.5675229998</v>
      </c>
      <c r="T14" s="513">
        <v>0</v>
      </c>
      <c r="U14" s="522">
        <v>0</v>
      </c>
      <c r="V14" s="522">
        <v>0</v>
      </c>
      <c r="W14" s="522">
        <v>0</v>
      </c>
      <c r="X14" s="522">
        <v>0</v>
      </c>
      <c r="Y14" s="522">
        <v>0</v>
      </c>
      <c r="Z14" s="522">
        <v>0</v>
      </c>
      <c r="AA14" s="514">
        <v>0</v>
      </c>
    </row>
    <row r="15" spans="1:27">
      <c r="A15" s="453">
        <v>1.2</v>
      </c>
      <c r="B15" s="451" t="s">
        <v>686</v>
      </c>
      <c r="C15" s="650">
        <v>58120416.204089575</v>
      </c>
      <c r="D15" s="522">
        <v>10921336.074585153</v>
      </c>
      <c r="E15" s="522">
        <v>9565.3744264863071</v>
      </c>
      <c r="F15" s="522">
        <v>0</v>
      </c>
      <c r="G15" s="522">
        <v>107308.40465587894</v>
      </c>
      <c r="H15" s="522">
        <v>922344.83919574006</v>
      </c>
      <c r="I15" s="522">
        <v>13659.506030922694</v>
      </c>
      <c r="J15" s="522">
        <v>4005.6617949756583</v>
      </c>
      <c r="K15" s="522">
        <v>0</v>
      </c>
      <c r="L15" s="522">
        <v>46271071.247035012</v>
      </c>
      <c r="M15" s="522">
        <v>7353.1626929886615</v>
      </c>
      <c r="N15" s="522">
        <v>1604735.7267442064</v>
      </c>
      <c r="O15" s="522">
        <v>76617.706040000005</v>
      </c>
      <c r="P15" s="522">
        <v>387248.51995466044</v>
      </c>
      <c r="Q15" s="522">
        <v>7229572.7134982962</v>
      </c>
      <c r="R15" s="522">
        <v>2996364.9837090867</v>
      </c>
      <c r="S15" s="514">
        <v>12331403.076478763</v>
      </c>
      <c r="T15" s="513">
        <v>5664.0432736631965</v>
      </c>
      <c r="U15" s="522">
        <v>0</v>
      </c>
      <c r="V15" s="522">
        <v>0</v>
      </c>
      <c r="W15" s="522">
        <v>0</v>
      </c>
      <c r="X15" s="522">
        <v>0</v>
      </c>
      <c r="Y15" s="522">
        <v>0</v>
      </c>
      <c r="Z15" s="522">
        <v>0</v>
      </c>
      <c r="AA15" s="514">
        <v>0</v>
      </c>
    </row>
    <row r="16" spans="1:27">
      <c r="A16" s="452">
        <v>1.3</v>
      </c>
      <c r="B16" s="451" t="s">
        <v>531</v>
      </c>
      <c r="C16" s="653"/>
      <c r="D16" s="512"/>
      <c r="E16" s="512"/>
      <c r="F16" s="512"/>
      <c r="G16" s="512"/>
      <c r="H16" s="512"/>
      <c r="I16" s="512"/>
      <c r="J16" s="512"/>
      <c r="K16" s="512"/>
      <c r="L16" s="512"/>
      <c r="M16" s="512"/>
      <c r="N16" s="512"/>
      <c r="O16" s="512"/>
      <c r="P16" s="512"/>
      <c r="Q16" s="512"/>
      <c r="R16" s="512"/>
      <c r="S16" s="511"/>
      <c r="T16" s="510"/>
      <c r="U16" s="512"/>
      <c r="V16" s="512"/>
      <c r="W16" s="512"/>
      <c r="X16" s="512"/>
      <c r="Y16" s="512"/>
      <c r="Z16" s="512"/>
      <c r="AA16" s="511"/>
    </row>
    <row r="17" spans="1:27">
      <c r="A17" s="448" t="s">
        <v>493</v>
      </c>
      <c r="B17" s="450" t="s">
        <v>494</v>
      </c>
      <c r="C17" s="654">
        <v>730682264.86646092</v>
      </c>
      <c r="D17" s="522">
        <v>547496640.99202526</v>
      </c>
      <c r="E17" s="522">
        <v>3269321.8581184465</v>
      </c>
      <c r="F17" s="522">
        <v>0</v>
      </c>
      <c r="G17" s="522">
        <v>649644.55753184611</v>
      </c>
      <c r="H17" s="522">
        <v>36474414.420947701</v>
      </c>
      <c r="I17" s="522">
        <v>308276.56252260553</v>
      </c>
      <c r="J17" s="522">
        <v>908773.03274525446</v>
      </c>
      <c r="K17" s="522">
        <v>0</v>
      </c>
      <c r="L17" s="522">
        <v>145233880.27378893</v>
      </c>
      <c r="M17" s="522">
        <v>1470632.5389525429</v>
      </c>
      <c r="N17" s="522">
        <v>3811359.7017182144</v>
      </c>
      <c r="O17" s="522">
        <v>477258.12396911025</v>
      </c>
      <c r="P17" s="522">
        <v>2870755.4300757921</v>
      </c>
      <c r="Q17" s="522">
        <v>28545043.262552194</v>
      </c>
      <c r="R17" s="522">
        <v>16952383.417548791</v>
      </c>
      <c r="S17" s="514">
        <v>32083667.400194</v>
      </c>
      <c r="T17" s="513">
        <v>1477329.179699</v>
      </c>
      <c r="U17" s="522">
        <v>0</v>
      </c>
      <c r="V17" s="522">
        <v>0</v>
      </c>
      <c r="W17" s="522">
        <v>0</v>
      </c>
      <c r="X17" s="522">
        <v>0</v>
      </c>
      <c r="Y17" s="522">
        <v>0</v>
      </c>
      <c r="Z17" s="522">
        <v>0</v>
      </c>
      <c r="AA17" s="514">
        <v>0</v>
      </c>
    </row>
    <row r="18" spans="1:27">
      <c r="A18" s="446" t="s">
        <v>495</v>
      </c>
      <c r="B18" s="447" t="s">
        <v>496</v>
      </c>
      <c r="C18" s="655">
        <v>605064030.56663382</v>
      </c>
      <c r="D18" s="522">
        <v>438970252.74748445</v>
      </c>
      <c r="E18" s="522">
        <v>2755319.0657146317</v>
      </c>
      <c r="F18" s="522">
        <v>0</v>
      </c>
      <c r="G18" s="522">
        <v>154585.34967120815</v>
      </c>
      <c r="H18" s="522">
        <v>36122233.480947718</v>
      </c>
      <c r="I18" s="522">
        <v>308276.56252260553</v>
      </c>
      <c r="J18" s="522">
        <v>908773.03274525446</v>
      </c>
      <c r="K18" s="522">
        <v>0</v>
      </c>
      <c r="L18" s="522">
        <v>128494215.1585027</v>
      </c>
      <c r="M18" s="522">
        <v>1470632.5389525429</v>
      </c>
      <c r="N18" s="522">
        <v>1180121.7024252762</v>
      </c>
      <c r="O18" s="522">
        <v>477258.12396911025</v>
      </c>
      <c r="P18" s="522">
        <v>1998081.4109421305</v>
      </c>
      <c r="Q18" s="522">
        <v>26552418.272449963</v>
      </c>
      <c r="R18" s="522">
        <v>14445159.185878793</v>
      </c>
      <c r="S18" s="514">
        <v>32083667.400194</v>
      </c>
      <c r="T18" s="513">
        <v>1477329.179699</v>
      </c>
      <c r="U18" s="522">
        <v>0</v>
      </c>
      <c r="V18" s="522">
        <v>0</v>
      </c>
      <c r="W18" s="522">
        <v>0</v>
      </c>
      <c r="X18" s="522">
        <v>0</v>
      </c>
      <c r="Y18" s="522">
        <v>0</v>
      </c>
      <c r="Z18" s="522">
        <v>0</v>
      </c>
      <c r="AA18" s="514">
        <v>0</v>
      </c>
    </row>
    <row r="19" spans="1:27">
      <c r="A19" s="448" t="s">
        <v>497</v>
      </c>
      <c r="B19" s="449" t="s">
        <v>498</v>
      </c>
      <c r="C19" s="656">
        <v>999694375.94764185</v>
      </c>
      <c r="D19" s="522">
        <v>852506075.38302886</v>
      </c>
      <c r="E19" s="522">
        <v>2506562.7716533281</v>
      </c>
      <c r="F19" s="522">
        <v>0</v>
      </c>
      <c r="G19" s="522">
        <v>0</v>
      </c>
      <c r="H19" s="522">
        <v>45874499.590111189</v>
      </c>
      <c r="I19" s="522">
        <v>979588.97279342869</v>
      </c>
      <c r="J19" s="522">
        <v>188043.2672547457</v>
      </c>
      <c r="K19" s="522">
        <v>0</v>
      </c>
      <c r="L19" s="522">
        <v>91885791.954201713</v>
      </c>
      <c r="M19" s="522">
        <v>2008122.0579605114</v>
      </c>
      <c r="N19" s="522">
        <v>2393243.9294367894</v>
      </c>
      <c r="O19" s="522">
        <v>360430.67848383798</v>
      </c>
      <c r="P19" s="522">
        <v>2733793.197996384</v>
      </c>
      <c r="Q19" s="522">
        <v>12408583.288537914</v>
      </c>
      <c r="R19" s="522">
        <v>8891421.8761920501</v>
      </c>
      <c r="S19" s="514">
        <v>15214459.284621496</v>
      </c>
      <c r="T19" s="513">
        <v>9428009.0203010011</v>
      </c>
      <c r="U19" s="522">
        <v>0</v>
      </c>
      <c r="V19" s="522">
        <v>0</v>
      </c>
      <c r="W19" s="522">
        <v>0</v>
      </c>
      <c r="X19" s="522">
        <v>0</v>
      </c>
      <c r="Y19" s="522">
        <v>0</v>
      </c>
      <c r="Z19" s="522">
        <v>0</v>
      </c>
      <c r="AA19" s="514">
        <v>0</v>
      </c>
    </row>
    <row r="20" spans="1:27">
      <c r="A20" s="446" t="s">
        <v>499</v>
      </c>
      <c r="B20" s="447" t="s">
        <v>496</v>
      </c>
      <c r="C20" s="655">
        <v>562660917.48788404</v>
      </c>
      <c r="D20" s="522">
        <v>450304843.86306989</v>
      </c>
      <c r="E20" s="522">
        <v>2502799.5901789512</v>
      </c>
      <c r="F20" s="522">
        <v>0</v>
      </c>
      <c r="G20" s="522">
        <v>0</v>
      </c>
      <c r="H20" s="522">
        <v>35759155.575412631</v>
      </c>
      <c r="I20" s="522">
        <v>979588.97279342869</v>
      </c>
      <c r="J20" s="522">
        <v>188043.2672547457</v>
      </c>
      <c r="K20" s="522">
        <v>0</v>
      </c>
      <c r="L20" s="522">
        <v>67168909.02910006</v>
      </c>
      <c r="M20" s="522">
        <v>1306991.6335379211</v>
      </c>
      <c r="N20" s="522">
        <v>2289170.0462861089</v>
      </c>
      <c r="O20" s="522">
        <v>360430.67848383798</v>
      </c>
      <c r="P20" s="522">
        <v>2510067.030925022</v>
      </c>
      <c r="Q20" s="522">
        <v>1124868.3938491223</v>
      </c>
      <c r="R20" s="522">
        <v>7446727.3860393791</v>
      </c>
      <c r="S20" s="514">
        <v>10704330.0678588</v>
      </c>
      <c r="T20" s="513">
        <v>9428009.0203010011</v>
      </c>
      <c r="U20" s="522">
        <v>0</v>
      </c>
      <c r="V20" s="522">
        <v>0</v>
      </c>
      <c r="W20" s="522">
        <v>0</v>
      </c>
      <c r="X20" s="522">
        <v>0</v>
      </c>
      <c r="Y20" s="522">
        <v>0</v>
      </c>
      <c r="Z20" s="522">
        <v>0</v>
      </c>
      <c r="AA20" s="514">
        <v>0</v>
      </c>
    </row>
    <row r="21" spans="1:27">
      <c r="A21" s="445">
        <v>1.4</v>
      </c>
      <c r="B21" s="444" t="s">
        <v>500</v>
      </c>
      <c r="C21" s="657">
        <v>7739365.9677099995</v>
      </c>
      <c r="D21" s="522">
        <v>4269740.4103100002</v>
      </c>
      <c r="E21" s="522">
        <v>0</v>
      </c>
      <c r="F21" s="522">
        <v>0</v>
      </c>
      <c r="G21" s="522">
        <v>0</v>
      </c>
      <c r="H21" s="522">
        <v>371283.88</v>
      </c>
      <c r="I21" s="522">
        <v>0</v>
      </c>
      <c r="J21" s="522">
        <v>0</v>
      </c>
      <c r="K21" s="522">
        <v>0</v>
      </c>
      <c r="L21" s="522">
        <v>3098341.6773999999</v>
      </c>
      <c r="M21" s="522">
        <v>0</v>
      </c>
      <c r="N21" s="522">
        <v>0</v>
      </c>
      <c r="O21" s="522">
        <v>0</v>
      </c>
      <c r="P21" s="522">
        <v>0</v>
      </c>
      <c r="Q21" s="522">
        <v>0</v>
      </c>
      <c r="R21" s="522">
        <v>828991.55989999999</v>
      </c>
      <c r="S21" s="514">
        <v>2267560.6074999999</v>
      </c>
      <c r="T21" s="513">
        <v>0</v>
      </c>
      <c r="U21" s="522">
        <v>0</v>
      </c>
      <c r="V21" s="522">
        <v>0</v>
      </c>
      <c r="W21" s="522">
        <v>0</v>
      </c>
      <c r="X21" s="522">
        <v>0</v>
      </c>
      <c r="Y21" s="522">
        <v>0</v>
      </c>
      <c r="Z21" s="522">
        <v>0</v>
      </c>
      <c r="AA21" s="514">
        <v>0</v>
      </c>
    </row>
    <row r="22" spans="1:27" ht="13.5" thickBot="1">
      <c r="A22" s="443">
        <v>1.5</v>
      </c>
      <c r="B22" s="442" t="s">
        <v>501</v>
      </c>
      <c r="C22" s="658">
        <v>0</v>
      </c>
      <c r="D22" s="659">
        <v>0</v>
      </c>
      <c r="E22" s="659">
        <v>0</v>
      </c>
      <c r="F22" s="659">
        <v>0</v>
      </c>
      <c r="G22" s="659">
        <v>0</v>
      </c>
      <c r="H22" s="659">
        <v>0</v>
      </c>
      <c r="I22" s="659">
        <v>0</v>
      </c>
      <c r="J22" s="659">
        <v>0</v>
      </c>
      <c r="K22" s="659">
        <v>0</v>
      </c>
      <c r="L22" s="659">
        <v>0</v>
      </c>
      <c r="M22" s="659">
        <v>0</v>
      </c>
      <c r="N22" s="659">
        <v>0</v>
      </c>
      <c r="O22" s="659">
        <v>0</v>
      </c>
      <c r="P22" s="659">
        <v>0</v>
      </c>
      <c r="Q22" s="659">
        <v>0</v>
      </c>
      <c r="R22" s="659">
        <v>0</v>
      </c>
      <c r="S22" s="660">
        <v>0</v>
      </c>
      <c r="T22" s="661">
        <v>0</v>
      </c>
      <c r="U22" s="659">
        <v>0</v>
      </c>
      <c r="V22" s="659">
        <v>0</v>
      </c>
      <c r="W22" s="659">
        <v>0</v>
      </c>
      <c r="X22" s="659">
        <v>0</v>
      </c>
      <c r="Y22" s="659">
        <v>0</v>
      </c>
      <c r="Z22" s="659">
        <v>0</v>
      </c>
      <c r="AA22" s="660">
        <v>0</v>
      </c>
    </row>
    <row r="25" spans="1:27">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row>
    <row r="26" spans="1:27">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row>
    <row r="27" spans="1:27">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row>
    <row r="28" spans="1:27">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row>
    <row r="29" spans="1:27">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row>
    <row r="30" spans="1:27">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row>
    <row r="31" spans="1:27">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row>
    <row r="32" spans="1:27">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row>
    <row r="33" spans="3:27">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row>
    <row r="34" spans="3:27">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row>
    <row r="35" spans="3:27">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row>
    <row r="36" spans="3:27">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8"/>
    </row>
    <row r="37" spans="3:27">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row>
    <row r="38" spans="3:27">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row>
    <row r="39" spans="3:27">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1"/>
  <sheetViews>
    <sheetView showGridLines="0" zoomScaleNormal="100" workbookViewId="0"/>
  </sheetViews>
  <sheetFormatPr defaultColWidth="9.140625" defaultRowHeight="12.75"/>
  <cols>
    <col min="1" max="1" width="11.85546875" style="418" bestFit="1" customWidth="1"/>
    <col min="2" max="2" width="93.42578125" style="418" customWidth="1"/>
    <col min="3" max="3" width="14.5703125" style="418" customWidth="1"/>
    <col min="4" max="5" width="16.140625" style="418" customWidth="1"/>
    <col min="6" max="6" width="16.140625" style="435" customWidth="1"/>
    <col min="7" max="7" width="25.28515625" style="435" customWidth="1"/>
    <col min="8" max="8" width="16.140625" style="418" customWidth="1"/>
    <col min="9" max="11" width="16.140625" style="435" customWidth="1"/>
    <col min="12" max="12" width="26.28515625" style="435" customWidth="1"/>
    <col min="13" max="16384" width="9.140625" style="418"/>
  </cols>
  <sheetData>
    <row r="1" spans="1:12" ht="13.5">
      <c r="A1" s="330" t="s">
        <v>30</v>
      </c>
      <c r="B1" s="405" t="str">
        <f>'Info '!C2</f>
        <v>JSC Cartu Bank</v>
      </c>
      <c r="F1" s="418"/>
      <c r="G1" s="418"/>
      <c r="I1" s="418"/>
      <c r="J1" s="418"/>
      <c r="K1" s="418"/>
      <c r="L1" s="418"/>
    </row>
    <row r="2" spans="1:12">
      <c r="A2" s="330" t="s">
        <v>31</v>
      </c>
      <c r="B2" s="677">
        <f>'1. key ratios '!B2</f>
        <v>45107</v>
      </c>
      <c r="F2" s="418"/>
      <c r="G2" s="418"/>
      <c r="I2" s="418"/>
      <c r="J2" s="418"/>
      <c r="K2" s="418"/>
      <c r="L2" s="418"/>
    </row>
    <row r="3" spans="1:12">
      <c r="A3" s="331" t="s">
        <v>502</v>
      </c>
      <c r="F3" s="418"/>
      <c r="G3" s="418"/>
      <c r="I3" s="418"/>
      <c r="J3" s="418"/>
      <c r="K3" s="418"/>
      <c r="L3" s="418"/>
    </row>
    <row r="4" spans="1:12">
      <c r="F4" s="418"/>
      <c r="G4" s="418"/>
      <c r="I4" s="418"/>
      <c r="J4" s="418"/>
      <c r="K4" s="418"/>
      <c r="L4" s="418"/>
    </row>
    <row r="5" spans="1:12" ht="37.5" customHeight="1">
      <c r="A5" s="745" t="s">
        <v>519</v>
      </c>
      <c r="B5" s="746"/>
      <c r="C5" s="791" t="s">
        <v>503</v>
      </c>
      <c r="D5" s="792"/>
      <c r="E5" s="792"/>
      <c r="F5" s="792"/>
      <c r="G5" s="792"/>
      <c r="H5" s="791" t="s">
        <v>663</v>
      </c>
      <c r="I5" s="793"/>
      <c r="J5" s="793"/>
      <c r="K5" s="793"/>
      <c r="L5" s="794"/>
    </row>
    <row r="6" spans="1:12" ht="39.6" customHeight="1">
      <c r="A6" s="749"/>
      <c r="B6" s="750"/>
      <c r="C6" s="333"/>
      <c r="D6" s="416" t="s">
        <v>684</v>
      </c>
      <c r="E6" s="416" t="s">
        <v>683</v>
      </c>
      <c r="F6" s="416" t="s">
        <v>682</v>
      </c>
      <c r="G6" s="416" t="s">
        <v>681</v>
      </c>
      <c r="H6" s="436"/>
      <c r="I6" s="416" t="s">
        <v>684</v>
      </c>
      <c r="J6" s="416" t="s">
        <v>683</v>
      </c>
      <c r="K6" s="416" t="s">
        <v>682</v>
      </c>
      <c r="L6" s="416" t="s">
        <v>681</v>
      </c>
    </row>
    <row r="7" spans="1:12">
      <c r="A7" s="407">
        <v>1</v>
      </c>
      <c r="B7" s="422" t="s">
        <v>522</v>
      </c>
      <c r="C7" s="509">
        <v>7868631.7003174052</v>
      </c>
      <c r="D7" s="522">
        <v>7502612.8084846204</v>
      </c>
      <c r="E7" s="522">
        <v>16606.740000000002</v>
      </c>
      <c r="F7" s="508">
        <v>349412.1518327847</v>
      </c>
      <c r="G7" s="508">
        <v>0</v>
      </c>
      <c r="H7" s="522">
        <v>381820.89479100966</v>
      </c>
      <c r="I7" s="508">
        <v>356395.80787734262</v>
      </c>
      <c r="J7" s="508">
        <v>39.199161012010421</v>
      </c>
      <c r="K7" s="508">
        <v>25385.887752655017</v>
      </c>
      <c r="L7" s="508">
        <v>0</v>
      </c>
    </row>
    <row r="8" spans="1:12">
      <c r="A8" s="407">
        <v>2</v>
      </c>
      <c r="B8" s="422" t="s">
        <v>435</v>
      </c>
      <c r="C8" s="509">
        <v>3107985.5902099623</v>
      </c>
      <c r="D8" s="522">
        <v>2685166.8013186199</v>
      </c>
      <c r="E8" s="522">
        <v>2500.54</v>
      </c>
      <c r="F8" s="508">
        <v>420318.24889134202</v>
      </c>
      <c r="G8" s="508">
        <v>0</v>
      </c>
      <c r="H8" s="522">
        <v>12789.709910547876</v>
      </c>
      <c r="I8" s="508">
        <v>7641.990570034086</v>
      </c>
      <c r="J8" s="508">
        <v>250.054</v>
      </c>
      <c r="K8" s="508">
        <v>4897.6653405137886</v>
      </c>
      <c r="L8" s="508">
        <v>0</v>
      </c>
    </row>
    <row r="9" spans="1:12">
      <c r="A9" s="407">
        <v>3</v>
      </c>
      <c r="B9" s="422" t="s">
        <v>436</v>
      </c>
      <c r="C9" s="509">
        <v>0</v>
      </c>
      <c r="D9" s="522">
        <v>0</v>
      </c>
      <c r="E9" s="522">
        <v>0</v>
      </c>
      <c r="F9" s="507">
        <v>0</v>
      </c>
      <c r="G9" s="507">
        <v>0</v>
      </c>
      <c r="H9" s="522">
        <v>0</v>
      </c>
      <c r="I9" s="507">
        <v>0</v>
      </c>
      <c r="J9" s="507">
        <v>0</v>
      </c>
      <c r="K9" s="507">
        <v>0</v>
      </c>
      <c r="L9" s="507">
        <v>0</v>
      </c>
    </row>
    <row r="10" spans="1:12">
      <c r="A10" s="407">
        <v>4</v>
      </c>
      <c r="B10" s="422" t="s">
        <v>523</v>
      </c>
      <c r="C10" s="509">
        <v>87971863.41600655</v>
      </c>
      <c r="D10" s="522">
        <v>46057862.128260709</v>
      </c>
      <c r="E10" s="522">
        <v>10126993.224661894</v>
      </c>
      <c r="F10" s="507">
        <v>31787008.063083969</v>
      </c>
      <c r="G10" s="507">
        <v>0</v>
      </c>
      <c r="H10" s="522">
        <v>8191031.9059056723</v>
      </c>
      <c r="I10" s="507">
        <v>201271.26229088422</v>
      </c>
      <c r="J10" s="507">
        <v>31911.032089458455</v>
      </c>
      <c r="K10" s="507">
        <v>7957849.6115253326</v>
      </c>
      <c r="L10" s="507">
        <v>0</v>
      </c>
    </row>
    <row r="11" spans="1:12">
      <c r="A11" s="407">
        <v>5</v>
      </c>
      <c r="B11" s="422" t="s">
        <v>437</v>
      </c>
      <c r="C11" s="509">
        <v>76414983.16876635</v>
      </c>
      <c r="D11" s="522">
        <v>53252945.691511646</v>
      </c>
      <c r="E11" s="522">
        <v>6658925.3279539822</v>
      </c>
      <c r="F11" s="507">
        <v>16503112.149300702</v>
      </c>
      <c r="G11" s="507">
        <v>0</v>
      </c>
      <c r="H11" s="522">
        <v>5790614.6136182807</v>
      </c>
      <c r="I11" s="507">
        <v>418228.41513269005</v>
      </c>
      <c r="J11" s="507">
        <v>595163.12410248222</v>
      </c>
      <c r="K11" s="507">
        <v>4777223.0743831098</v>
      </c>
      <c r="L11" s="507">
        <v>0</v>
      </c>
    </row>
    <row r="12" spans="1:12">
      <c r="A12" s="407">
        <v>6</v>
      </c>
      <c r="B12" s="422" t="s">
        <v>438</v>
      </c>
      <c r="C12" s="509">
        <v>49266773.996561304</v>
      </c>
      <c r="D12" s="522">
        <v>49045213.245290302</v>
      </c>
      <c r="E12" s="522">
        <v>0</v>
      </c>
      <c r="F12" s="507">
        <v>221560.75127100002</v>
      </c>
      <c r="G12" s="507">
        <v>0</v>
      </c>
      <c r="H12" s="522">
        <v>460012.26175733929</v>
      </c>
      <c r="I12" s="507">
        <v>458042.86760098429</v>
      </c>
      <c r="J12" s="507">
        <v>0</v>
      </c>
      <c r="K12" s="507">
        <v>1969.3941563549979</v>
      </c>
      <c r="L12" s="507">
        <v>0</v>
      </c>
    </row>
    <row r="13" spans="1:12">
      <c r="A13" s="407">
        <v>7</v>
      </c>
      <c r="B13" s="422" t="s">
        <v>439</v>
      </c>
      <c r="C13" s="509">
        <v>15443762.659272227</v>
      </c>
      <c r="D13" s="522">
        <v>7221428.193779232</v>
      </c>
      <c r="E13" s="522">
        <v>2564545.75</v>
      </c>
      <c r="F13" s="507">
        <v>5657788.7154930001</v>
      </c>
      <c r="G13" s="507">
        <v>0</v>
      </c>
      <c r="H13" s="522">
        <v>2050025.1170320162</v>
      </c>
      <c r="I13" s="507">
        <v>28268.573043703025</v>
      </c>
      <c r="J13" s="507">
        <v>243163.28251337688</v>
      </c>
      <c r="K13" s="507">
        <v>1778593.2614749358</v>
      </c>
      <c r="L13" s="507">
        <v>0</v>
      </c>
    </row>
    <row r="14" spans="1:12">
      <c r="A14" s="407">
        <v>8</v>
      </c>
      <c r="B14" s="422" t="s">
        <v>440</v>
      </c>
      <c r="C14" s="509">
        <v>8910042.3197967466</v>
      </c>
      <c r="D14" s="522">
        <v>2139843.1470003133</v>
      </c>
      <c r="E14" s="522">
        <v>0</v>
      </c>
      <c r="F14" s="507">
        <v>6770199.1727964301</v>
      </c>
      <c r="G14" s="507">
        <v>0</v>
      </c>
      <c r="H14" s="522">
        <v>2403440.9283199315</v>
      </c>
      <c r="I14" s="507">
        <v>3862.2004952155794</v>
      </c>
      <c r="J14" s="507">
        <v>0</v>
      </c>
      <c r="K14" s="507">
        <v>2399578.7278247154</v>
      </c>
      <c r="L14" s="507">
        <v>0</v>
      </c>
    </row>
    <row r="15" spans="1:12">
      <c r="A15" s="407">
        <v>9</v>
      </c>
      <c r="B15" s="422" t="s">
        <v>441</v>
      </c>
      <c r="C15" s="509">
        <v>116437534.71179588</v>
      </c>
      <c r="D15" s="522">
        <v>97885195.317545742</v>
      </c>
      <c r="E15" s="522">
        <v>10467511.612887442</v>
      </c>
      <c r="F15" s="507">
        <v>8084827.7813626705</v>
      </c>
      <c r="G15" s="507">
        <v>0</v>
      </c>
      <c r="H15" s="522">
        <v>3461877.0593659617</v>
      </c>
      <c r="I15" s="507">
        <v>838837.17062886851</v>
      </c>
      <c r="J15" s="507">
        <v>32529.37384011102</v>
      </c>
      <c r="K15" s="507">
        <v>2590510.5148969819</v>
      </c>
      <c r="L15" s="507">
        <v>0</v>
      </c>
    </row>
    <row r="16" spans="1:12">
      <c r="A16" s="407">
        <v>10</v>
      </c>
      <c r="B16" s="422" t="s">
        <v>442</v>
      </c>
      <c r="C16" s="509">
        <v>3933118.3041421496</v>
      </c>
      <c r="D16" s="522">
        <v>3933118.3041421496</v>
      </c>
      <c r="E16" s="522">
        <v>0</v>
      </c>
      <c r="F16" s="507">
        <v>0</v>
      </c>
      <c r="G16" s="507">
        <v>0</v>
      </c>
      <c r="H16" s="522">
        <v>2111.3213517015774</v>
      </c>
      <c r="I16" s="507">
        <v>2111.3213517015774</v>
      </c>
      <c r="J16" s="507">
        <v>0</v>
      </c>
      <c r="K16" s="507">
        <v>0</v>
      </c>
      <c r="L16" s="507">
        <v>0</v>
      </c>
    </row>
    <row r="17" spans="1:12">
      <c r="A17" s="407">
        <v>11</v>
      </c>
      <c r="B17" s="422" t="s">
        <v>443</v>
      </c>
      <c r="C17" s="509">
        <v>1153585.3994112983</v>
      </c>
      <c r="D17" s="522">
        <v>1153585.3994112983</v>
      </c>
      <c r="E17" s="522">
        <v>0</v>
      </c>
      <c r="F17" s="507">
        <v>0</v>
      </c>
      <c r="G17" s="507">
        <v>0</v>
      </c>
      <c r="H17" s="522">
        <v>304.68758476580621</v>
      </c>
      <c r="I17" s="507">
        <v>304.68758476580621</v>
      </c>
      <c r="J17" s="507">
        <v>0</v>
      </c>
      <c r="K17" s="507">
        <v>0</v>
      </c>
      <c r="L17" s="507">
        <v>0</v>
      </c>
    </row>
    <row r="18" spans="1:12">
      <c r="A18" s="407">
        <v>12</v>
      </c>
      <c r="B18" s="422" t="s">
        <v>444</v>
      </c>
      <c r="C18" s="509">
        <v>28667914.15703785</v>
      </c>
      <c r="D18" s="522">
        <v>5600749.8739432208</v>
      </c>
      <c r="E18" s="522">
        <v>0</v>
      </c>
      <c r="F18" s="507">
        <v>23067164.28309463</v>
      </c>
      <c r="G18" s="507">
        <v>0</v>
      </c>
      <c r="H18" s="522">
        <v>5759635.814863814</v>
      </c>
      <c r="I18" s="507">
        <v>90462.252112991104</v>
      </c>
      <c r="J18" s="507">
        <v>0</v>
      </c>
      <c r="K18" s="507">
        <v>5669173.5627508238</v>
      </c>
      <c r="L18" s="507">
        <v>0</v>
      </c>
    </row>
    <row r="19" spans="1:12">
      <c r="A19" s="407">
        <v>13</v>
      </c>
      <c r="B19" s="422" t="s">
        <v>445</v>
      </c>
      <c r="C19" s="509">
        <v>25247054.891544256</v>
      </c>
      <c r="D19" s="522">
        <v>21609662.893644739</v>
      </c>
      <c r="E19" s="522">
        <v>0</v>
      </c>
      <c r="F19" s="507">
        <v>3637391.9978995183</v>
      </c>
      <c r="G19" s="507">
        <v>0</v>
      </c>
      <c r="H19" s="522">
        <v>796755.92345384334</v>
      </c>
      <c r="I19" s="507">
        <v>164922.00094379333</v>
      </c>
      <c r="J19" s="507">
        <v>0</v>
      </c>
      <c r="K19" s="507">
        <v>631833.92251004989</v>
      </c>
      <c r="L19" s="507">
        <v>0</v>
      </c>
    </row>
    <row r="20" spans="1:12">
      <c r="A20" s="407">
        <v>14</v>
      </c>
      <c r="B20" s="422" t="s">
        <v>446</v>
      </c>
      <c r="C20" s="509">
        <v>36805893.005042836</v>
      </c>
      <c r="D20" s="522">
        <v>12767260.223254275</v>
      </c>
      <c r="E20" s="522">
        <v>3277633.7490374213</v>
      </c>
      <c r="F20" s="507">
        <v>20110293.942507133</v>
      </c>
      <c r="G20" s="507">
        <v>650705.09024400008</v>
      </c>
      <c r="H20" s="522">
        <v>2218835.2144701364</v>
      </c>
      <c r="I20" s="507">
        <v>55339.531792617236</v>
      </c>
      <c r="J20" s="507">
        <v>5526.2948023807403</v>
      </c>
      <c r="K20" s="507">
        <v>2154715.8624239182</v>
      </c>
      <c r="L20" s="507">
        <v>3253.5254512200027</v>
      </c>
    </row>
    <row r="21" spans="1:12">
      <c r="A21" s="407">
        <v>15</v>
      </c>
      <c r="B21" s="422" t="s">
        <v>447</v>
      </c>
      <c r="C21" s="509">
        <v>548353.52733773191</v>
      </c>
      <c r="D21" s="522">
        <v>27649.219999999998</v>
      </c>
      <c r="E21" s="522">
        <v>115876.91675775325</v>
      </c>
      <c r="F21" s="507">
        <v>404827.3905799787</v>
      </c>
      <c r="G21" s="507">
        <v>0</v>
      </c>
      <c r="H21" s="522">
        <v>34335.807962857456</v>
      </c>
      <c r="I21" s="507">
        <v>0</v>
      </c>
      <c r="J21" s="507">
        <v>155.357295140806</v>
      </c>
      <c r="K21" s="507">
        <v>34180.45066771665</v>
      </c>
      <c r="L21" s="507">
        <v>0</v>
      </c>
    </row>
    <row r="22" spans="1:12">
      <c r="A22" s="407">
        <v>16</v>
      </c>
      <c r="B22" s="422" t="s">
        <v>448</v>
      </c>
      <c r="C22" s="509">
        <v>70380627.206462339</v>
      </c>
      <c r="D22" s="522">
        <v>70380627.206462339</v>
      </c>
      <c r="E22" s="522">
        <v>0</v>
      </c>
      <c r="F22" s="507">
        <v>0</v>
      </c>
      <c r="G22" s="507">
        <v>0</v>
      </c>
      <c r="H22" s="522">
        <v>2782516.3394171218</v>
      </c>
      <c r="I22" s="507">
        <v>2782516.3394171218</v>
      </c>
      <c r="J22" s="507">
        <v>0</v>
      </c>
      <c r="K22" s="507">
        <v>0</v>
      </c>
      <c r="L22" s="507">
        <v>0</v>
      </c>
    </row>
    <row r="23" spans="1:12">
      <c r="A23" s="407">
        <v>17</v>
      </c>
      <c r="B23" s="422" t="s">
        <v>526</v>
      </c>
      <c r="C23" s="509">
        <v>17491998.312722359</v>
      </c>
      <c r="D23" s="522">
        <v>17491998.312722359</v>
      </c>
      <c r="E23" s="522">
        <v>0</v>
      </c>
      <c r="F23" s="507">
        <v>0</v>
      </c>
      <c r="G23" s="507">
        <v>0</v>
      </c>
      <c r="H23" s="522">
        <v>41609.986950908904</v>
      </c>
      <c r="I23" s="507">
        <v>41609.986950908904</v>
      </c>
      <c r="J23" s="507">
        <v>0</v>
      </c>
      <c r="K23" s="507">
        <v>0</v>
      </c>
      <c r="L23" s="507">
        <v>0</v>
      </c>
    </row>
    <row r="24" spans="1:12">
      <c r="A24" s="407">
        <v>18</v>
      </c>
      <c r="B24" s="422" t="s">
        <v>449</v>
      </c>
      <c r="C24" s="509">
        <v>3387212.9796278626</v>
      </c>
      <c r="D24" s="522">
        <v>1130934.9967858624</v>
      </c>
      <c r="E24" s="522">
        <v>0</v>
      </c>
      <c r="F24" s="507">
        <v>2256277.9828420002</v>
      </c>
      <c r="G24" s="507">
        <v>0</v>
      </c>
      <c r="H24" s="522">
        <v>698498.79447803111</v>
      </c>
      <c r="I24" s="507">
        <v>313.95795803116289</v>
      </c>
      <c r="J24" s="507">
        <v>0</v>
      </c>
      <c r="K24" s="507">
        <v>698184.83652000001</v>
      </c>
      <c r="L24" s="507">
        <v>0</v>
      </c>
    </row>
    <row r="25" spans="1:12">
      <c r="A25" s="407">
        <v>19</v>
      </c>
      <c r="B25" s="422" t="s">
        <v>450</v>
      </c>
      <c r="C25" s="509">
        <v>9403593.734196797</v>
      </c>
      <c r="D25" s="522">
        <v>9403593.734196797</v>
      </c>
      <c r="E25" s="522">
        <v>0</v>
      </c>
      <c r="F25" s="507">
        <v>0</v>
      </c>
      <c r="G25" s="507">
        <v>0</v>
      </c>
      <c r="H25" s="522">
        <v>37144.242458560147</v>
      </c>
      <c r="I25" s="507">
        <v>37144.242458560147</v>
      </c>
      <c r="J25" s="507">
        <v>0</v>
      </c>
      <c r="K25" s="507">
        <v>0</v>
      </c>
      <c r="L25" s="507">
        <v>0</v>
      </c>
    </row>
    <row r="26" spans="1:12">
      <c r="A26" s="407">
        <v>20</v>
      </c>
      <c r="B26" s="422" t="s">
        <v>525</v>
      </c>
      <c r="C26" s="509">
        <v>30675797.411100619</v>
      </c>
      <c r="D26" s="522">
        <v>30675797.411100619</v>
      </c>
      <c r="E26" s="522">
        <v>0</v>
      </c>
      <c r="F26" s="507">
        <v>0</v>
      </c>
      <c r="G26" s="507">
        <v>0</v>
      </c>
      <c r="H26" s="522">
        <v>112646.42685364082</v>
      </c>
      <c r="I26" s="507">
        <v>112646.42685364082</v>
      </c>
      <c r="J26" s="507">
        <v>0</v>
      </c>
      <c r="K26" s="507">
        <v>0</v>
      </c>
      <c r="L26" s="507">
        <v>0</v>
      </c>
    </row>
    <row r="27" spans="1:12">
      <c r="A27" s="407">
        <v>21</v>
      </c>
      <c r="B27" s="422" t="s">
        <v>451</v>
      </c>
      <c r="C27" s="509">
        <v>1731069.2732646212</v>
      </c>
      <c r="D27" s="522">
        <v>1730792.7420646211</v>
      </c>
      <c r="E27" s="522">
        <v>0</v>
      </c>
      <c r="F27" s="507">
        <v>276.53120000000001</v>
      </c>
      <c r="G27" s="507">
        <v>0</v>
      </c>
      <c r="H27" s="522">
        <v>4477.0665776644146</v>
      </c>
      <c r="I27" s="507">
        <v>4200.5353776644142</v>
      </c>
      <c r="J27" s="507">
        <v>0</v>
      </c>
      <c r="K27" s="507">
        <v>276.53120000000001</v>
      </c>
      <c r="L27" s="507">
        <v>0</v>
      </c>
    </row>
    <row r="28" spans="1:12">
      <c r="A28" s="407">
        <v>22</v>
      </c>
      <c r="B28" s="422" t="s">
        <v>452</v>
      </c>
      <c r="C28" s="509">
        <v>46623017.655507088</v>
      </c>
      <c r="D28" s="522">
        <v>36032925.253503241</v>
      </c>
      <c r="E28" s="522">
        <v>0</v>
      </c>
      <c r="F28" s="507">
        <v>10590092.402003845</v>
      </c>
      <c r="G28" s="507">
        <v>0</v>
      </c>
      <c r="H28" s="522">
        <v>14059078.830664176</v>
      </c>
      <c r="I28" s="507">
        <v>4012909.4531476717</v>
      </c>
      <c r="J28" s="507">
        <v>0</v>
      </c>
      <c r="K28" s="507">
        <v>10046169.377516503</v>
      </c>
      <c r="L28" s="507">
        <v>0</v>
      </c>
    </row>
    <row r="29" spans="1:12">
      <c r="A29" s="407">
        <v>23</v>
      </c>
      <c r="B29" s="422" t="s">
        <v>453</v>
      </c>
      <c r="C29" s="509">
        <v>65043767.843670718</v>
      </c>
      <c r="D29" s="522">
        <v>56783958.45304659</v>
      </c>
      <c r="E29" s="522">
        <v>60359.636341085628</v>
      </c>
      <c r="F29" s="507">
        <v>8199449.7542830352</v>
      </c>
      <c r="G29" s="507">
        <v>0</v>
      </c>
      <c r="H29" s="522">
        <v>860146.88945606851</v>
      </c>
      <c r="I29" s="507">
        <v>394381.57530327234</v>
      </c>
      <c r="J29" s="507">
        <v>1487.7118107980582</v>
      </c>
      <c r="K29" s="507">
        <v>464277.60234199808</v>
      </c>
      <c r="L29" s="507">
        <v>0</v>
      </c>
    </row>
    <row r="30" spans="1:12">
      <c r="A30" s="407">
        <v>24</v>
      </c>
      <c r="B30" s="422" t="s">
        <v>524</v>
      </c>
      <c r="C30" s="509">
        <v>48571308.927201986</v>
      </c>
      <c r="D30" s="522">
        <v>32706496.336945008</v>
      </c>
      <c r="E30" s="522">
        <v>3090431.2630249998</v>
      </c>
      <c r="F30" s="507">
        <v>12774381.327231999</v>
      </c>
      <c r="G30" s="507">
        <v>0</v>
      </c>
      <c r="H30" s="522">
        <v>6311050.291945532</v>
      </c>
      <c r="I30" s="507">
        <v>51265.296931630139</v>
      </c>
      <c r="J30" s="507">
        <v>9050.2259174740884</v>
      </c>
      <c r="K30" s="507">
        <v>6250734.7690964304</v>
      </c>
      <c r="L30" s="507">
        <v>0</v>
      </c>
    </row>
    <row r="31" spans="1:12">
      <c r="A31" s="407">
        <v>25</v>
      </c>
      <c r="B31" s="422" t="s">
        <v>454</v>
      </c>
      <c r="C31" s="509">
        <v>55464149.078976423</v>
      </c>
      <c r="D31" s="522">
        <v>48784952.298478223</v>
      </c>
      <c r="E31" s="522">
        <v>1156083.3805796644</v>
      </c>
      <c r="F31" s="507">
        <v>4696489.3104636017</v>
      </c>
      <c r="G31" s="507">
        <v>826624.08945500001</v>
      </c>
      <c r="H31" s="522">
        <v>2276823.5062889587</v>
      </c>
      <c r="I31" s="507">
        <v>872474.348074093</v>
      </c>
      <c r="J31" s="507">
        <v>4653.6181791926192</v>
      </c>
      <c r="K31" s="507">
        <v>1397285.0222132362</v>
      </c>
      <c r="L31" s="507">
        <v>2410.5178224431938</v>
      </c>
    </row>
    <row r="32" spans="1:12">
      <c r="A32" s="407">
        <v>26</v>
      </c>
      <c r="B32" s="422" t="s">
        <v>521</v>
      </c>
      <c r="C32" s="509">
        <v>1263838.0458779989</v>
      </c>
      <c r="D32" s="522">
        <v>1168971.0087779991</v>
      </c>
      <c r="E32" s="522">
        <v>2449.3000000000002</v>
      </c>
      <c r="F32" s="507">
        <v>92417.737099999853</v>
      </c>
      <c r="G32" s="507">
        <v>0</v>
      </c>
      <c r="H32" s="522">
        <v>115582.74727555987</v>
      </c>
      <c r="I32" s="507">
        <v>23379.42017555999</v>
      </c>
      <c r="J32" s="507">
        <v>244.93000000000004</v>
      </c>
      <c r="K32" s="507">
        <v>91958.397099999856</v>
      </c>
      <c r="L32" s="507">
        <v>0</v>
      </c>
    </row>
    <row r="33" spans="1:12">
      <c r="A33" s="407">
        <v>27</v>
      </c>
      <c r="B33" s="464" t="s">
        <v>64</v>
      </c>
      <c r="C33" s="520">
        <f t="shared" ref="C33:L33" si="0">SUM(C7:C32)</f>
        <v>811813877.31585145</v>
      </c>
      <c r="D33" s="520">
        <f t="shared" si="0"/>
        <v>617173341.0016706</v>
      </c>
      <c r="E33" s="520">
        <f t="shared" si="0"/>
        <v>37539917.441244237</v>
      </c>
      <c r="F33" s="520">
        <f t="shared" si="0"/>
        <v>155623289.69323766</v>
      </c>
      <c r="G33" s="520">
        <f t="shared" si="0"/>
        <v>1477329.179699</v>
      </c>
      <c r="H33" s="520">
        <f t="shared" si="0"/>
        <v>58863166.38275411</v>
      </c>
      <c r="I33" s="520">
        <f t="shared" si="0"/>
        <v>10958529.664073745</v>
      </c>
      <c r="J33" s="520">
        <f t="shared" si="0"/>
        <v>924174.20371142717</v>
      </c>
      <c r="K33" s="520">
        <f t="shared" si="0"/>
        <v>46974798.471695274</v>
      </c>
      <c r="L33" s="520">
        <f t="shared" si="0"/>
        <v>5664.0432736631965</v>
      </c>
    </row>
    <row r="35" spans="1:12">
      <c r="B35" s="463"/>
      <c r="C35" s="506"/>
      <c r="D35" s="506"/>
      <c r="E35" s="506"/>
      <c r="F35" s="506"/>
      <c r="G35" s="506"/>
      <c r="H35" s="506"/>
      <c r="I35" s="506"/>
      <c r="J35" s="506"/>
      <c r="K35" s="506"/>
      <c r="L35" s="506"/>
    </row>
    <row r="36" spans="1:12">
      <c r="C36" s="506"/>
      <c r="D36" s="506"/>
      <c r="E36" s="506"/>
      <c r="F36" s="506"/>
      <c r="G36" s="506"/>
      <c r="H36" s="506"/>
      <c r="I36" s="506"/>
      <c r="J36" s="506"/>
      <c r="K36" s="506"/>
      <c r="L36" s="506"/>
    </row>
    <row r="37" spans="1:12">
      <c r="C37" s="506"/>
      <c r="D37" s="506"/>
      <c r="E37" s="506"/>
      <c r="F37" s="506"/>
      <c r="G37" s="506"/>
      <c r="H37" s="506"/>
      <c r="I37" s="506"/>
      <c r="J37" s="506"/>
      <c r="K37" s="506"/>
      <c r="L37" s="506"/>
    </row>
    <row r="38" spans="1:12">
      <c r="C38" s="506"/>
      <c r="D38" s="506"/>
      <c r="E38" s="506"/>
      <c r="F38" s="506"/>
      <c r="G38" s="506"/>
      <c r="H38" s="506"/>
      <c r="I38" s="506"/>
      <c r="J38" s="506"/>
      <c r="K38" s="506"/>
      <c r="L38" s="506"/>
    </row>
    <row r="39" spans="1:12">
      <c r="C39" s="506"/>
      <c r="D39" s="506"/>
      <c r="E39" s="506"/>
      <c r="F39" s="506"/>
      <c r="G39" s="506"/>
      <c r="H39" s="506"/>
      <c r="I39" s="506"/>
      <c r="J39" s="506"/>
      <c r="K39" s="506"/>
      <c r="L39" s="506"/>
    </row>
    <row r="40" spans="1:12">
      <c r="C40" s="506"/>
      <c r="D40" s="506"/>
      <c r="E40" s="506"/>
      <c r="F40" s="506"/>
      <c r="G40" s="506"/>
      <c r="H40" s="506"/>
      <c r="I40" s="506"/>
      <c r="J40" s="506"/>
      <c r="K40" s="506"/>
      <c r="L40" s="506"/>
    </row>
    <row r="41" spans="1:12">
      <c r="C41" s="506"/>
      <c r="D41" s="506"/>
      <c r="E41" s="506"/>
      <c r="F41" s="506"/>
      <c r="G41" s="506"/>
      <c r="H41" s="506"/>
      <c r="I41" s="506"/>
      <c r="J41" s="506"/>
      <c r="K41" s="506"/>
      <c r="L41" s="506"/>
    </row>
    <row r="42" spans="1:12">
      <c r="C42" s="506"/>
      <c r="D42" s="506"/>
      <c r="E42" s="506"/>
      <c r="F42" s="506"/>
      <c r="G42" s="506"/>
      <c r="H42" s="506"/>
      <c r="I42" s="506"/>
      <c r="J42" s="506"/>
      <c r="K42" s="506"/>
      <c r="L42" s="506"/>
    </row>
    <row r="43" spans="1:12">
      <c r="C43" s="506"/>
      <c r="D43" s="506"/>
      <c r="E43" s="506"/>
      <c r="F43" s="506"/>
      <c r="G43" s="506"/>
      <c r="H43" s="506"/>
      <c r="I43" s="506"/>
      <c r="J43" s="506"/>
      <c r="K43" s="506"/>
      <c r="L43" s="506"/>
    </row>
    <row r="44" spans="1:12">
      <c r="C44" s="506"/>
      <c r="D44" s="506"/>
      <c r="E44" s="506"/>
      <c r="F44" s="506"/>
      <c r="G44" s="506"/>
      <c r="H44" s="506"/>
      <c r="I44" s="506"/>
      <c r="J44" s="506"/>
      <c r="K44" s="506"/>
      <c r="L44" s="506"/>
    </row>
    <row r="45" spans="1:12">
      <c r="C45" s="506"/>
      <c r="D45" s="506"/>
      <c r="E45" s="506"/>
      <c r="F45" s="506"/>
      <c r="G45" s="506"/>
      <c r="H45" s="506"/>
      <c r="I45" s="506"/>
      <c r="J45" s="506"/>
      <c r="K45" s="506"/>
      <c r="L45" s="506"/>
    </row>
    <row r="46" spans="1:12">
      <c r="C46" s="506"/>
      <c r="D46" s="506"/>
      <c r="E46" s="506"/>
      <c r="F46" s="506"/>
      <c r="G46" s="506"/>
      <c r="H46" s="506"/>
      <c r="I46" s="506"/>
      <c r="J46" s="506"/>
      <c r="K46" s="506"/>
      <c r="L46" s="506"/>
    </row>
    <row r="47" spans="1:12">
      <c r="C47" s="506"/>
      <c r="D47" s="506"/>
      <c r="E47" s="506"/>
      <c r="F47" s="506"/>
      <c r="G47" s="506"/>
      <c r="H47" s="506"/>
      <c r="I47" s="506"/>
      <c r="J47" s="506"/>
      <c r="K47" s="506"/>
      <c r="L47" s="506"/>
    </row>
    <row r="48" spans="1:12">
      <c r="C48" s="506"/>
      <c r="D48" s="506"/>
      <c r="E48" s="506"/>
      <c r="F48" s="506"/>
      <c r="G48" s="506"/>
      <c r="H48" s="506"/>
      <c r="I48" s="506"/>
      <c r="J48" s="506"/>
      <c r="K48" s="506"/>
      <c r="L48" s="506"/>
    </row>
    <row r="49" spans="3:12">
      <c r="C49" s="506"/>
      <c r="D49" s="506"/>
      <c r="E49" s="506"/>
      <c r="F49" s="506"/>
      <c r="G49" s="506"/>
      <c r="H49" s="506"/>
      <c r="I49" s="506"/>
      <c r="J49" s="506"/>
      <c r="K49" s="506"/>
      <c r="L49" s="506"/>
    </row>
    <row r="50" spans="3:12">
      <c r="C50" s="506"/>
      <c r="D50" s="506"/>
      <c r="E50" s="506"/>
      <c r="F50" s="506"/>
      <c r="G50" s="506"/>
      <c r="H50" s="506"/>
      <c r="I50" s="506"/>
      <c r="J50" s="506"/>
      <c r="K50" s="506"/>
      <c r="L50" s="506"/>
    </row>
    <row r="51" spans="3:12">
      <c r="C51" s="506"/>
      <c r="D51" s="506"/>
      <c r="E51" s="506"/>
      <c r="F51" s="506"/>
      <c r="G51" s="506"/>
      <c r="H51" s="506"/>
      <c r="I51" s="506"/>
      <c r="J51" s="506"/>
      <c r="K51" s="506"/>
      <c r="L51" s="506"/>
    </row>
    <row r="52" spans="3:12">
      <c r="C52" s="506"/>
      <c r="D52" s="506"/>
      <c r="E52" s="506"/>
      <c r="F52" s="506"/>
      <c r="G52" s="506"/>
      <c r="H52" s="506"/>
      <c r="I52" s="506"/>
      <c r="J52" s="506"/>
      <c r="K52" s="506"/>
      <c r="L52" s="506"/>
    </row>
    <row r="53" spans="3:12">
      <c r="C53" s="506"/>
      <c r="D53" s="506"/>
      <c r="E53" s="506"/>
      <c r="F53" s="506"/>
      <c r="G53" s="506"/>
      <c r="H53" s="506"/>
      <c r="I53" s="506"/>
      <c r="J53" s="506"/>
      <c r="K53" s="506"/>
      <c r="L53" s="506"/>
    </row>
    <row r="54" spans="3:12">
      <c r="C54" s="506"/>
      <c r="D54" s="506"/>
      <c r="E54" s="506"/>
      <c r="F54" s="506"/>
      <c r="G54" s="506"/>
      <c r="H54" s="506"/>
      <c r="I54" s="506"/>
      <c r="J54" s="506"/>
      <c r="K54" s="506"/>
      <c r="L54" s="506"/>
    </row>
    <row r="55" spans="3:12">
      <c r="C55" s="506"/>
      <c r="D55" s="506"/>
      <c r="E55" s="506"/>
      <c r="F55" s="506"/>
      <c r="G55" s="506"/>
      <c r="H55" s="506"/>
      <c r="I55" s="506"/>
      <c r="J55" s="506"/>
      <c r="K55" s="506"/>
      <c r="L55" s="506"/>
    </row>
    <row r="56" spans="3:12">
      <c r="C56" s="506"/>
      <c r="D56" s="506"/>
      <c r="E56" s="506"/>
      <c r="F56" s="506"/>
      <c r="G56" s="506"/>
      <c r="H56" s="506"/>
      <c r="I56" s="506"/>
      <c r="J56" s="506"/>
      <c r="K56" s="506"/>
      <c r="L56" s="506"/>
    </row>
    <row r="57" spans="3:12">
      <c r="C57" s="506"/>
      <c r="D57" s="506"/>
      <c r="E57" s="506"/>
      <c r="F57" s="506"/>
      <c r="G57" s="506"/>
      <c r="H57" s="506"/>
      <c r="I57" s="506"/>
      <c r="J57" s="506"/>
      <c r="K57" s="506"/>
      <c r="L57" s="506"/>
    </row>
    <row r="58" spans="3:12">
      <c r="C58" s="506"/>
      <c r="D58" s="506"/>
      <c r="E58" s="506"/>
      <c r="F58" s="506"/>
      <c r="G58" s="506"/>
      <c r="H58" s="506"/>
      <c r="I58" s="506"/>
      <c r="J58" s="506"/>
      <c r="K58" s="506"/>
      <c r="L58" s="506"/>
    </row>
    <row r="59" spans="3:12">
      <c r="C59" s="506"/>
      <c r="D59" s="506"/>
      <c r="E59" s="506"/>
      <c r="F59" s="506"/>
      <c r="G59" s="506"/>
      <c r="H59" s="506"/>
      <c r="I59" s="506"/>
      <c r="J59" s="506"/>
      <c r="K59" s="506"/>
      <c r="L59" s="506"/>
    </row>
    <row r="60" spans="3:12">
      <c r="C60" s="506"/>
      <c r="D60" s="506"/>
      <c r="E60" s="506"/>
      <c r="F60" s="506"/>
      <c r="G60" s="506"/>
      <c r="H60" s="506"/>
      <c r="I60" s="506"/>
      <c r="J60" s="506"/>
      <c r="K60" s="506"/>
      <c r="L60" s="506"/>
    </row>
    <row r="61" spans="3:12">
      <c r="C61" s="506"/>
      <c r="D61" s="506"/>
      <c r="E61" s="506"/>
      <c r="F61" s="506"/>
      <c r="G61" s="506"/>
      <c r="H61" s="506"/>
      <c r="I61" s="506"/>
      <c r="J61" s="506"/>
      <c r="K61" s="506"/>
      <c r="L61" s="506"/>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1"/>
  <sheetViews>
    <sheetView showGridLines="0" zoomScaleNormal="100" workbookViewId="0"/>
  </sheetViews>
  <sheetFormatPr defaultColWidth="8.7109375" defaultRowHeight="12"/>
  <cols>
    <col min="1" max="1" width="11.85546875" style="465" bestFit="1" customWidth="1"/>
    <col min="2" max="2" width="68.7109375" style="465" customWidth="1"/>
    <col min="3" max="11" width="28.28515625" style="465" customWidth="1"/>
    <col min="12" max="16384" width="8.7109375" style="465"/>
  </cols>
  <sheetData>
    <row r="1" spans="1:11" s="418" customFormat="1" ht="13.5">
      <c r="A1" s="330" t="s">
        <v>30</v>
      </c>
      <c r="B1" s="405" t="str">
        <f>'Info '!C2</f>
        <v>JSC Cartu Bank</v>
      </c>
    </row>
    <row r="2" spans="1:11" s="418" customFormat="1" ht="12.75">
      <c r="A2" s="330" t="s">
        <v>31</v>
      </c>
      <c r="B2" s="677">
        <f>'1. key ratios '!B2</f>
        <v>45107</v>
      </c>
    </row>
    <row r="3" spans="1:11" s="418" customFormat="1" ht="12.75">
      <c r="A3" s="331" t="s">
        <v>504</v>
      </c>
    </row>
    <row r="4" spans="1:11">
      <c r="C4" s="469" t="s">
        <v>698</v>
      </c>
      <c r="D4" s="469" t="s">
        <v>697</v>
      </c>
      <c r="E4" s="469" t="s">
        <v>696</v>
      </c>
      <c r="F4" s="469" t="s">
        <v>695</v>
      </c>
      <c r="G4" s="469" t="s">
        <v>694</v>
      </c>
      <c r="H4" s="469" t="s">
        <v>693</v>
      </c>
      <c r="I4" s="469" t="s">
        <v>692</v>
      </c>
      <c r="J4" s="469" t="s">
        <v>691</v>
      </c>
      <c r="K4" s="469" t="s">
        <v>690</v>
      </c>
    </row>
    <row r="5" spans="1:11" ht="104.1" customHeight="1">
      <c r="A5" s="795" t="s">
        <v>689</v>
      </c>
      <c r="B5" s="796"/>
      <c r="C5" s="468" t="s">
        <v>505</v>
      </c>
      <c r="D5" s="468" t="s">
        <v>506</v>
      </c>
      <c r="E5" s="468" t="s">
        <v>507</v>
      </c>
      <c r="F5" s="468" t="s">
        <v>508</v>
      </c>
      <c r="G5" s="468" t="s">
        <v>509</v>
      </c>
      <c r="H5" s="468" t="s">
        <v>510</v>
      </c>
      <c r="I5" s="468" t="s">
        <v>511</v>
      </c>
      <c r="J5" s="468" t="s">
        <v>512</v>
      </c>
      <c r="K5" s="468" t="s">
        <v>513</v>
      </c>
    </row>
    <row r="6" spans="1:11" ht="12.75">
      <c r="A6" s="407">
        <v>1</v>
      </c>
      <c r="B6" s="407" t="s">
        <v>473</v>
      </c>
      <c r="C6" s="522">
        <v>52107236.778617658</v>
      </c>
      <c r="D6" s="522">
        <v>7739365.9677099995</v>
      </c>
      <c r="E6" s="522">
        <v>0</v>
      </c>
      <c r="F6" s="522">
        <v>0</v>
      </c>
      <c r="G6" s="522">
        <v>592602653.95672464</v>
      </c>
      <c r="H6" s="522">
        <v>10296486.363856256</v>
      </c>
      <c r="I6" s="522">
        <v>70204082.40705128</v>
      </c>
      <c r="J6" s="522">
        <v>6575306.2104378324</v>
      </c>
      <c r="K6" s="522">
        <v>72288745.631453171</v>
      </c>
    </row>
    <row r="7" spans="1:11" ht="12.75">
      <c r="A7" s="407">
        <v>2</v>
      </c>
      <c r="B7" s="407" t="s">
        <v>514</v>
      </c>
      <c r="C7" s="522">
        <v>0</v>
      </c>
      <c r="D7" s="522">
        <v>0</v>
      </c>
      <c r="E7" s="522">
        <v>0</v>
      </c>
      <c r="F7" s="522">
        <v>0</v>
      </c>
      <c r="G7" s="522">
        <v>0</v>
      </c>
      <c r="H7" s="522">
        <v>0</v>
      </c>
      <c r="I7" s="522">
        <v>11041758.08</v>
      </c>
      <c r="J7" s="522">
        <v>0</v>
      </c>
      <c r="K7" s="522">
        <v>18094539.210000001</v>
      </c>
    </row>
    <row r="8" spans="1:11" ht="12.75">
      <c r="A8" s="407">
        <v>3</v>
      </c>
      <c r="B8" s="407" t="s">
        <v>481</v>
      </c>
      <c r="C8" s="522">
        <v>12162536.229219783</v>
      </c>
      <c r="D8" s="522">
        <v>0</v>
      </c>
      <c r="E8" s="522">
        <v>0</v>
      </c>
      <c r="F8" s="522">
        <v>0</v>
      </c>
      <c r="G8" s="522">
        <v>40272375.596006714</v>
      </c>
      <c r="H8" s="522">
        <v>1802915.7631307754</v>
      </c>
      <c r="I8" s="522">
        <v>10435008.983692165</v>
      </c>
      <c r="J8" s="522">
        <v>8787949.7162784543</v>
      </c>
      <c r="K8" s="522">
        <v>12649501.438472092</v>
      </c>
    </row>
    <row r="9" spans="1:11" ht="12.75">
      <c r="A9" s="407">
        <v>4</v>
      </c>
      <c r="B9" s="427" t="s">
        <v>515</v>
      </c>
      <c r="C9" s="505">
        <v>6641488.4495296096</v>
      </c>
      <c r="D9" s="505">
        <v>3098341.6773999999</v>
      </c>
      <c r="E9" s="505">
        <v>0</v>
      </c>
      <c r="F9" s="505">
        <v>0</v>
      </c>
      <c r="G9" s="505">
        <v>129968510.5568607</v>
      </c>
      <c r="H9" s="505">
        <v>0</v>
      </c>
      <c r="I9" s="505">
        <v>9270429.3771976642</v>
      </c>
      <c r="J9" s="505">
        <v>1183013.5859937975</v>
      </c>
      <c r="K9" s="505">
        <v>6938835.2259548353</v>
      </c>
    </row>
    <row r="10" spans="1:11" ht="12.75">
      <c r="A10" s="407">
        <v>5</v>
      </c>
      <c r="B10" s="427" t="s">
        <v>516</v>
      </c>
      <c r="C10" s="505">
        <v>0</v>
      </c>
      <c r="D10" s="505">
        <v>0</v>
      </c>
      <c r="E10" s="505">
        <v>0</v>
      </c>
      <c r="F10" s="505">
        <v>0</v>
      </c>
      <c r="G10" s="505">
        <v>0</v>
      </c>
      <c r="H10" s="505">
        <v>0</v>
      </c>
      <c r="I10" s="505">
        <v>0</v>
      </c>
      <c r="J10" s="505">
        <v>0</v>
      </c>
      <c r="K10" s="505">
        <v>0</v>
      </c>
    </row>
    <row r="11" spans="1:11" ht="12.75">
      <c r="A11" s="407">
        <v>6</v>
      </c>
      <c r="B11" s="427" t="s">
        <v>517</v>
      </c>
      <c r="C11" s="505">
        <v>0</v>
      </c>
      <c r="D11" s="505">
        <v>0</v>
      </c>
      <c r="E11" s="505">
        <v>0</v>
      </c>
      <c r="F11" s="505">
        <v>0</v>
      </c>
      <c r="G11" s="505">
        <v>3729071.93</v>
      </c>
      <c r="H11" s="505">
        <v>0</v>
      </c>
      <c r="I11" s="505">
        <v>0</v>
      </c>
      <c r="J11" s="505">
        <v>0</v>
      </c>
      <c r="K11" s="505">
        <v>7.8800000000000239</v>
      </c>
    </row>
    <row r="12" spans="1:11">
      <c r="C12" s="679"/>
      <c r="D12" s="679"/>
      <c r="E12" s="679"/>
      <c r="F12" s="679"/>
      <c r="G12" s="679"/>
      <c r="H12" s="679"/>
      <c r="I12" s="679"/>
      <c r="J12" s="679"/>
      <c r="K12" s="679"/>
    </row>
    <row r="13" spans="1:11" ht="15">
      <c r="B13" s="466"/>
      <c r="C13" s="679"/>
      <c r="D13" s="679"/>
      <c r="E13" s="679"/>
      <c r="F13" s="679"/>
      <c r="G13" s="679"/>
      <c r="H13" s="679"/>
      <c r="I13" s="679"/>
      <c r="J13" s="679"/>
      <c r="K13" s="679"/>
    </row>
    <row r="14" spans="1:11">
      <c r="C14" s="679"/>
      <c r="D14" s="679"/>
      <c r="E14" s="679"/>
      <c r="F14" s="679"/>
      <c r="G14" s="679"/>
      <c r="H14" s="679"/>
      <c r="I14" s="679"/>
      <c r="J14" s="679"/>
      <c r="K14" s="679"/>
    </row>
    <row r="15" spans="1:11">
      <c r="C15" s="679"/>
      <c r="D15" s="679"/>
      <c r="E15" s="679"/>
      <c r="F15" s="679"/>
      <c r="G15" s="679"/>
      <c r="H15" s="679"/>
      <c r="I15" s="679"/>
      <c r="J15" s="679"/>
      <c r="K15" s="679"/>
    </row>
    <row r="16" spans="1:11">
      <c r="C16" s="679"/>
      <c r="D16" s="679"/>
      <c r="E16" s="679"/>
      <c r="F16" s="679"/>
      <c r="G16" s="679"/>
      <c r="H16" s="679"/>
      <c r="I16" s="679"/>
      <c r="J16" s="679"/>
      <c r="K16" s="679"/>
    </row>
    <row r="17" spans="3:11">
      <c r="C17" s="679"/>
      <c r="D17" s="679"/>
      <c r="E17" s="679"/>
      <c r="F17" s="679"/>
      <c r="G17" s="679"/>
      <c r="H17" s="679"/>
      <c r="I17" s="679"/>
      <c r="J17" s="679"/>
      <c r="K17" s="679"/>
    </row>
    <row r="18" spans="3:11">
      <c r="C18" s="679"/>
      <c r="D18" s="679"/>
      <c r="E18" s="679"/>
      <c r="F18" s="679"/>
      <c r="G18" s="679"/>
      <c r="H18" s="679"/>
      <c r="I18" s="679"/>
      <c r="J18" s="679"/>
      <c r="K18" s="679"/>
    </row>
    <row r="19" spans="3:11">
      <c r="C19" s="679"/>
      <c r="D19" s="679"/>
      <c r="E19" s="679"/>
      <c r="F19" s="679"/>
      <c r="G19" s="679"/>
      <c r="H19" s="679"/>
      <c r="I19" s="679"/>
      <c r="J19" s="679"/>
      <c r="K19" s="679"/>
    </row>
    <row r="20" spans="3:11">
      <c r="C20" s="679"/>
      <c r="D20" s="679"/>
      <c r="E20" s="679"/>
      <c r="F20" s="679"/>
      <c r="G20" s="679"/>
      <c r="H20" s="679"/>
      <c r="I20" s="679"/>
      <c r="J20" s="679"/>
      <c r="K20" s="679"/>
    </row>
    <row r="21" spans="3:11">
      <c r="C21" s="679"/>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39"/>
  <sheetViews>
    <sheetView showGridLines="0" zoomScaleNormal="100" workbookViewId="0"/>
  </sheetViews>
  <sheetFormatPr defaultColWidth="8.7109375" defaultRowHeight="15"/>
  <cols>
    <col min="1" max="1" width="10" style="470" bestFit="1" customWidth="1"/>
    <col min="2" max="2" width="71.7109375" style="470" customWidth="1"/>
    <col min="3" max="3" width="12" style="470" bestFit="1" customWidth="1"/>
    <col min="4" max="7" width="15.5703125" style="470" customWidth="1"/>
    <col min="8" max="8" width="12" style="470" bestFit="1" customWidth="1"/>
    <col min="9" max="12" width="17.28515625" style="470" customWidth="1"/>
    <col min="13" max="13" width="11.140625" style="470" bestFit="1" customWidth="1"/>
    <col min="14" max="17" width="16.140625" style="470" customWidth="1"/>
    <col min="18" max="18" width="12.42578125" style="470" bestFit="1" customWidth="1"/>
    <col min="19" max="19" width="47" style="470" bestFit="1" customWidth="1"/>
    <col min="20" max="20" width="43.5703125" style="470" bestFit="1" customWidth="1"/>
    <col min="21" max="21" width="46" style="470" bestFit="1" customWidth="1"/>
    <col min="22" max="22" width="43.5703125" style="470" bestFit="1" customWidth="1"/>
    <col min="23" max="16384" width="8.7109375" style="470"/>
  </cols>
  <sheetData>
    <row r="1" spans="1:22">
      <c r="A1" s="330" t="s">
        <v>30</v>
      </c>
      <c r="B1" s="405" t="str">
        <f>'Info '!C2</f>
        <v>JSC Cartu Bank</v>
      </c>
    </row>
    <row r="2" spans="1:22">
      <c r="A2" s="330" t="s">
        <v>31</v>
      </c>
      <c r="B2" s="677">
        <f>'1. key ratios '!B2</f>
        <v>45107</v>
      </c>
    </row>
    <row r="3" spans="1:22">
      <c r="A3" s="331" t="s">
        <v>532</v>
      </c>
      <c r="B3" s="418"/>
    </row>
    <row r="4" spans="1:22">
      <c r="A4" s="331"/>
      <c r="B4" s="418"/>
    </row>
    <row r="5" spans="1:22" ht="24" customHeight="1">
      <c r="A5" s="797" t="s">
        <v>533</v>
      </c>
      <c r="B5" s="798"/>
      <c r="C5" s="802" t="s">
        <v>699</v>
      </c>
      <c r="D5" s="802"/>
      <c r="E5" s="802"/>
      <c r="F5" s="802"/>
      <c r="G5" s="802"/>
      <c r="H5" s="802" t="s">
        <v>551</v>
      </c>
      <c r="I5" s="802"/>
      <c r="J5" s="802"/>
      <c r="K5" s="802"/>
      <c r="L5" s="802"/>
      <c r="M5" s="802" t="s">
        <v>663</v>
      </c>
      <c r="N5" s="802"/>
      <c r="O5" s="802"/>
      <c r="P5" s="802"/>
      <c r="Q5" s="802"/>
      <c r="R5" s="801" t="s">
        <v>534</v>
      </c>
      <c r="S5" s="801" t="s">
        <v>548</v>
      </c>
      <c r="T5" s="801" t="s">
        <v>549</v>
      </c>
      <c r="U5" s="801" t="s">
        <v>710</v>
      </c>
      <c r="V5" s="801" t="s">
        <v>711</v>
      </c>
    </row>
    <row r="6" spans="1:22" ht="36" customHeight="1">
      <c r="A6" s="799"/>
      <c r="B6" s="800"/>
      <c r="C6" s="479"/>
      <c r="D6" s="416" t="s">
        <v>684</v>
      </c>
      <c r="E6" s="416" t="s">
        <v>683</v>
      </c>
      <c r="F6" s="416" t="s">
        <v>682</v>
      </c>
      <c r="G6" s="416" t="s">
        <v>681</v>
      </c>
      <c r="H6" s="479"/>
      <c r="I6" s="416" t="s">
        <v>684</v>
      </c>
      <c r="J6" s="416" t="s">
        <v>683</v>
      </c>
      <c r="K6" s="416" t="s">
        <v>682</v>
      </c>
      <c r="L6" s="416" t="s">
        <v>681</v>
      </c>
      <c r="M6" s="479"/>
      <c r="N6" s="416" t="s">
        <v>684</v>
      </c>
      <c r="O6" s="416" t="s">
        <v>683</v>
      </c>
      <c r="P6" s="416" t="s">
        <v>682</v>
      </c>
      <c r="Q6" s="416" t="s">
        <v>681</v>
      </c>
      <c r="R6" s="801"/>
      <c r="S6" s="801"/>
      <c r="T6" s="801"/>
      <c r="U6" s="801"/>
      <c r="V6" s="801"/>
    </row>
    <row r="7" spans="1:22">
      <c r="A7" s="474">
        <v>1</v>
      </c>
      <c r="B7" s="478" t="s">
        <v>542</v>
      </c>
      <c r="C7" s="505">
        <v>157101.94999999998</v>
      </c>
      <c r="D7" s="505">
        <v>100109.28</v>
      </c>
      <c r="E7" s="505">
        <v>1582.88</v>
      </c>
      <c r="F7" s="505">
        <v>55409.79</v>
      </c>
      <c r="G7" s="505">
        <v>0</v>
      </c>
      <c r="H7" s="505">
        <v>166101.23144379799</v>
      </c>
      <c r="I7" s="505">
        <v>101006.08213728311</v>
      </c>
      <c r="J7" s="505">
        <v>1599.14</v>
      </c>
      <c r="K7" s="505">
        <v>63496.009306514861</v>
      </c>
      <c r="L7" s="505">
        <v>0</v>
      </c>
      <c r="M7" s="505">
        <v>14691.328762054109</v>
      </c>
      <c r="N7" s="505">
        <v>21.328556640818171</v>
      </c>
      <c r="O7" s="505">
        <v>3.7746689802300959</v>
      </c>
      <c r="P7" s="505">
        <v>14666.225536433059</v>
      </c>
      <c r="Q7" s="505">
        <v>0</v>
      </c>
      <c r="R7" s="505">
        <v>9</v>
      </c>
      <c r="S7" s="502">
        <v>0</v>
      </c>
      <c r="T7" s="502">
        <v>0</v>
      </c>
      <c r="U7" s="502">
        <v>0.13011029744697633</v>
      </c>
      <c r="V7" s="499">
        <v>53.189283440571174</v>
      </c>
    </row>
    <row r="8" spans="1:22">
      <c r="A8" s="474">
        <v>2</v>
      </c>
      <c r="B8" s="477" t="s">
        <v>541</v>
      </c>
      <c r="C8" s="505">
        <v>5215772.0899999989</v>
      </c>
      <c r="D8" s="505">
        <v>3828105.2900000005</v>
      </c>
      <c r="E8" s="505">
        <v>75469.08</v>
      </c>
      <c r="F8" s="505">
        <v>1312197.7200000002</v>
      </c>
      <c r="G8" s="505">
        <v>0</v>
      </c>
      <c r="H8" s="505">
        <v>5380852.5840611588</v>
      </c>
      <c r="I8" s="505">
        <v>3844555.0176022174</v>
      </c>
      <c r="J8" s="505">
        <v>68369.398557516965</v>
      </c>
      <c r="K8" s="505">
        <v>1467928.1679014259</v>
      </c>
      <c r="L8" s="505">
        <v>0</v>
      </c>
      <c r="M8" s="505">
        <v>390473.6714541195</v>
      </c>
      <c r="N8" s="505">
        <v>14846.120139748293</v>
      </c>
      <c r="O8" s="505">
        <v>3082.0825318185953</v>
      </c>
      <c r="P8" s="505">
        <v>372545.46878255246</v>
      </c>
      <c r="Q8" s="505">
        <v>0</v>
      </c>
      <c r="R8" s="505">
        <v>100</v>
      </c>
      <c r="S8" s="502">
        <v>0.11223682829558963</v>
      </c>
      <c r="T8" s="502">
        <v>0.11844309578763954</v>
      </c>
      <c r="U8" s="502">
        <v>0.10361566334448487</v>
      </c>
      <c r="V8" s="499">
        <v>58.242685039528268</v>
      </c>
    </row>
    <row r="9" spans="1:22">
      <c r="A9" s="474">
        <v>3</v>
      </c>
      <c r="B9" s="477" t="s">
        <v>540</v>
      </c>
      <c r="C9" s="505">
        <v>0</v>
      </c>
      <c r="D9" s="505">
        <v>0</v>
      </c>
      <c r="E9" s="505">
        <v>0</v>
      </c>
      <c r="F9" s="505">
        <v>0</v>
      </c>
      <c r="G9" s="505">
        <v>0</v>
      </c>
      <c r="H9" s="505">
        <v>0</v>
      </c>
      <c r="I9" s="505">
        <v>0</v>
      </c>
      <c r="J9" s="505">
        <v>0</v>
      </c>
      <c r="K9" s="505">
        <v>0</v>
      </c>
      <c r="L9" s="505">
        <v>0</v>
      </c>
      <c r="M9" s="505">
        <v>0</v>
      </c>
      <c r="N9" s="505">
        <v>0</v>
      </c>
      <c r="O9" s="505">
        <v>0</v>
      </c>
      <c r="P9" s="505">
        <v>0</v>
      </c>
      <c r="Q9" s="505">
        <v>0</v>
      </c>
      <c r="R9" s="505">
        <v>0</v>
      </c>
      <c r="S9" s="502">
        <v>0</v>
      </c>
      <c r="T9" s="502">
        <v>0</v>
      </c>
      <c r="U9" s="502">
        <v>0</v>
      </c>
      <c r="V9" s="499">
        <v>0</v>
      </c>
    </row>
    <row r="10" spans="1:22">
      <c r="A10" s="474">
        <v>4</v>
      </c>
      <c r="B10" s="477" t="s">
        <v>539</v>
      </c>
      <c r="C10" s="505">
        <v>0</v>
      </c>
      <c r="D10" s="505">
        <v>0</v>
      </c>
      <c r="E10" s="505">
        <v>0</v>
      </c>
      <c r="F10" s="505">
        <v>0</v>
      </c>
      <c r="G10" s="505">
        <v>0</v>
      </c>
      <c r="H10" s="505">
        <v>0</v>
      </c>
      <c r="I10" s="505">
        <v>0</v>
      </c>
      <c r="J10" s="505">
        <v>0</v>
      </c>
      <c r="K10" s="505">
        <v>0</v>
      </c>
      <c r="L10" s="505">
        <v>0</v>
      </c>
      <c r="M10" s="505">
        <v>0</v>
      </c>
      <c r="N10" s="505">
        <v>0</v>
      </c>
      <c r="O10" s="505">
        <v>0</v>
      </c>
      <c r="P10" s="505">
        <v>0</v>
      </c>
      <c r="Q10" s="505">
        <v>0</v>
      </c>
      <c r="R10" s="505">
        <v>0</v>
      </c>
      <c r="S10" s="502">
        <v>0</v>
      </c>
      <c r="T10" s="502">
        <v>0</v>
      </c>
      <c r="U10" s="502">
        <v>0</v>
      </c>
      <c r="V10" s="499">
        <v>0</v>
      </c>
    </row>
    <row r="11" spans="1:22">
      <c r="A11" s="474">
        <v>5</v>
      </c>
      <c r="B11" s="477" t="s">
        <v>538</v>
      </c>
      <c r="C11" s="505">
        <v>1473466.8308000006</v>
      </c>
      <c r="D11" s="505">
        <v>1404563.9708000002</v>
      </c>
      <c r="E11" s="505">
        <v>4921.75</v>
      </c>
      <c r="F11" s="505">
        <v>63981.110000000008</v>
      </c>
      <c r="G11" s="505">
        <v>0</v>
      </c>
      <c r="H11" s="505">
        <v>1887320.8878219982</v>
      </c>
      <c r="I11" s="505">
        <v>1765377.8378219982</v>
      </c>
      <c r="J11" s="505">
        <v>4949.84</v>
      </c>
      <c r="K11" s="505">
        <v>116993.21000000004</v>
      </c>
      <c r="L11" s="505">
        <v>0</v>
      </c>
      <c r="M11" s="505">
        <v>125871.06432481586</v>
      </c>
      <c r="N11" s="505">
        <v>35309.077324815851</v>
      </c>
      <c r="O11" s="505">
        <v>494.98400000000004</v>
      </c>
      <c r="P11" s="505">
        <v>90067.003000000026</v>
      </c>
      <c r="Q11" s="505">
        <v>0</v>
      </c>
      <c r="R11" s="505">
        <v>232</v>
      </c>
      <c r="S11" s="502">
        <v>0.12935471944112009</v>
      </c>
      <c r="T11" s="502">
        <v>0.13768672476202107</v>
      </c>
      <c r="U11" s="502">
        <v>0.10396752056836339</v>
      </c>
      <c r="V11" s="499">
        <v>5.2065903847305774</v>
      </c>
    </row>
    <row r="12" spans="1:22">
      <c r="A12" s="474">
        <v>6</v>
      </c>
      <c r="B12" s="477" t="s">
        <v>537</v>
      </c>
      <c r="C12" s="505">
        <v>302656.90579999977</v>
      </c>
      <c r="D12" s="505">
        <v>220173.4474</v>
      </c>
      <c r="E12" s="505">
        <v>0</v>
      </c>
      <c r="F12" s="505">
        <v>82483.458399999887</v>
      </c>
      <c r="G12" s="505">
        <v>0</v>
      </c>
      <c r="H12" s="505">
        <v>307649.66557099973</v>
      </c>
      <c r="I12" s="505">
        <v>225166.20717099999</v>
      </c>
      <c r="J12" s="505">
        <v>0</v>
      </c>
      <c r="K12" s="505">
        <v>82483.458399999887</v>
      </c>
      <c r="L12" s="505">
        <v>0</v>
      </c>
      <c r="M12" s="505">
        <v>86986.78254341986</v>
      </c>
      <c r="N12" s="505">
        <v>4503.3241434199999</v>
      </c>
      <c r="O12" s="505">
        <v>0</v>
      </c>
      <c r="P12" s="505">
        <v>82483.458399999887</v>
      </c>
      <c r="Q12" s="505">
        <v>0</v>
      </c>
      <c r="R12" s="505">
        <v>1349</v>
      </c>
      <c r="S12" s="502">
        <v>0.16</v>
      </c>
      <c r="T12" s="502">
        <v>0.17227079825887714</v>
      </c>
      <c r="U12" s="502">
        <v>0.13139112298788488</v>
      </c>
      <c r="V12" s="499">
        <v>10.744631625829362</v>
      </c>
    </row>
    <row r="13" spans="1:22">
      <c r="A13" s="474">
        <v>7</v>
      </c>
      <c r="B13" s="477" t="s">
        <v>536</v>
      </c>
      <c r="C13" s="505">
        <v>26903684.34000003</v>
      </c>
      <c r="D13" s="505">
        <v>24491609.890000027</v>
      </c>
      <c r="E13" s="505">
        <v>1327678.0900000001</v>
      </c>
      <c r="F13" s="505">
        <v>1084396.3599999999</v>
      </c>
      <c r="G13" s="505">
        <v>0</v>
      </c>
      <c r="H13" s="505">
        <v>27070170.972863197</v>
      </c>
      <c r="I13" s="505">
        <v>24549496.675811123</v>
      </c>
      <c r="J13" s="505">
        <v>1343489.0240169526</v>
      </c>
      <c r="K13" s="505">
        <v>1177185.2730351104</v>
      </c>
      <c r="L13" s="505">
        <v>0</v>
      </c>
      <c r="M13" s="505">
        <v>754666.60940723494</v>
      </c>
      <c r="N13" s="505">
        <v>634721.40120245726</v>
      </c>
      <c r="O13" s="505">
        <v>18063.060289218836</v>
      </c>
      <c r="P13" s="505">
        <v>101882.14791555861</v>
      </c>
      <c r="Q13" s="505">
        <v>0</v>
      </c>
      <c r="R13" s="505">
        <v>139</v>
      </c>
      <c r="S13" s="502">
        <v>9.4084190037302479E-2</v>
      </c>
      <c r="T13" s="502">
        <v>9.8259604555116606E-2</v>
      </c>
      <c r="U13" s="502">
        <v>9.396229258293462E-2</v>
      </c>
      <c r="V13" s="499">
        <v>114.23036677599744</v>
      </c>
    </row>
    <row r="14" spans="1:22">
      <c r="A14" s="472">
        <v>7.1</v>
      </c>
      <c r="B14" s="471" t="s">
        <v>545</v>
      </c>
      <c r="C14" s="505">
        <v>23970139.809999999</v>
      </c>
      <c r="D14" s="505">
        <v>21832090.639999997</v>
      </c>
      <c r="E14" s="505">
        <v>1302574.3</v>
      </c>
      <c r="F14" s="505">
        <v>835474.87000000011</v>
      </c>
      <c r="G14" s="505">
        <v>0</v>
      </c>
      <c r="H14" s="505">
        <v>24109006.416402508</v>
      </c>
      <c r="I14" s="505">
        <v>21868836.867266189</v>
      </c>
      <c r="J14" s="505">
        <v>1318379.6981183151</v>
      </c>
      <c r="K14" s="505">
        <v>921789.85101799993</v>
      </c>
      <c r="L14" s="505">
        <v>0</v>
      </c>
      <c r="M14" s="505">
        <v>726290.76570923836</v>
      </c>
      <c r="N14" s="505">
        <v>633640.63291273091</v>
      </c>
      <c r="O14" s="505">
        <v>18003.243532746041</v>
      </c>
      <c r="P14" s="505">
        <v>74646.889263761506</v>
      </c>
      <c r="Q14" s="505">
        <v>0</v>
      </c>
      <c r="R14" s="505">
        <v>91</v>
      </c>
      <c r="S14" s="502">
        <v>9.3733820112844354E-2</v>
      </c>
      <c r="T14" s="502">
        <v>9.7869809726690099E-2</v>
      </c>
      <c r="U14" s="502">
        <v>9.2649668311634278E-2</v>
      </c>
      <c r="V14" s="499">
        <v>117.5610468386264</v>
      </c>
    </row>
    <row r="15" spans="1:22">
      <c r="A15" s="472">
        <v>7.2</v>
      </c>
      <c r="B15" s="471" t="s">
        <v>547</v>
      </c>
      <c r="C15" s="505">
        <v>2460105.0699999994</v>
      </c>
      <c r="D15" s="505">
        <v>2211183.58</v>
      </c>
      <c r="E15" s="505">
        <v>0</v>
      </c>
      <c r="F15" s="505">
        <v>248921.49000000002</v>
      </c>
      <c r="G15" s="505">
        <v>0</v>
      </c>
      <c r="H15" s="505">
        <v>2483189.9726058939</v>
      </c>
      <c r="I15" s="505">
        <v>2227794.5505887833</v>
      </c>
      <c r="J15" s="505">
        <v>0</v>
      </c>
      <c r="K15" s="505">
        <v>255395.42201711028</v>
      </c>
      <c r="L15" s="505">
        <v>0</v>
      </c>
      <c r="M15" s="505">
        <v>28149.885676984744</v>
      </c>
      <c r="N15" s="505">
        <v>914.62702518767139</v>
      </c>
      <c r="O15" s="505">
        <v>0</v>
      </c>
      <c r="P15" s="505">
        <v>27235.258651797078</v>
      </c>
      <c r="Q15" s="505">
        <v>0</v>
      </c>
      <c r="R15" s="505">
        <v>23</v>
      </c>
      <c r="S15" s="502">
        <v>0.13999999999999999</v>
      </c>
      <c r="T15" s="502">
        <v>0.14934202920715767</v>
      </c>
      <c r="U15" s="502">
        <v>0.10076918832942369</v>
      </c>
      <c r="V15" s="499">
        <v>92.76814475160522</v>
      </c>
    </row>
    <row r="16" spans="1:22">
      <c r="A16" s="472">
        <v>7.3</v>
      </c>
      <c r="B16" s="471" t="s">
        <v>544</v>
      </c>
      <c r="C16" s="505">
        <v>473439.46</v>
      </c>
      <c r="D16" s="505">
        <v>448335.67000000004</v>
      </c>
      <c r="E16" s="505">
        <v>25103.79</v>
      </c>
      <c r="F16" s="505">
        <v>0</v>
      </c>
      <c r="G16" s="505">
        <v>0</v>
      </c>
      <c r="H16" s="505">
        <v>477974.58385477855</v>
      </c>
      <c r="I16" s="505">
        <v>452865.25795614097</v>
      </c>
      <c r="J16" s="505">
        <v>25109.325898637573</v>
      </c>
      <c r="K16" s="505">
        <v>0</v>
      </c>
      <c r="L16" s="505">
        <v>0</v>
      </c>
      <c r="M16" s="505">
        <v>225.95802101140444</v>
      </c>
      <c r="N16" s="505">
        <v>166.14126453860882</v>
      </c>
      <c r="O16" s="505">
        <v>59.816756472795632</v>
      </c>
      <c r="P16" s="505">
        <v>0</v>
      </c>
      <c r="Q16" s="505">
        <v>0</v>
      </c>
      <c r="R16" s="505">
        <v>25</v>
      </c>
      <c r="S16" s="502">
        <v>0.14000000000000001</v>
      </c>
      <c r="T16" s="502">
        <v>0.14934202920715767</v>
      </c>
      <c r="U16" s="502">
        <v>0.12504991794515816</v>
      </c>
      <c r="V16" s="499">
        <v>57.292847805049725</v>
      </c>
    </row>
    <row r="17" spans="1:22">
      <c r="A17" s="474">
        <v>8</v>
      </c>
      <c r="B17" s="477" t="s">
        <v>543</v>
      </c>
      <c r="C17" s="505">
        <v>0</v>
      </c>
      <c r="D17" s="505">
        <v>0</v>
      </c>
      <c r="E17" s="505">
        <v>0</v>
      </c>
      <c r="F17" s="505">
        <v>0</v>
      </c>
      <c r="G17" s="505">
        <v>0</v>
      </c>
      <c r="H17" s="505">
        <v>0</v>
      </c>
      <c r="I17" s="505">
        <v>0</v>
      </c>
      <c r="J17" s="505">
        <v>0</v>
      </c>
      <c r="K17" s="505">
        <v>0</v>
      </c>
      <c r="L17" s="505">
        <v>0</v>
      </c>
      <c r="M17" s="505">
        <v>0</v>
      </c>
      <c r="N17" s="505">
        <v>0</v>
      </c>
      <c r="O17" s="505">
        <v>0</v>
      </c>
      <c r="P17" s="505">
        <v>0</v>
      </c>
      <c r="Q17" s="505">
        <v>0</v>
      </c>
      <c r="R17" s="505">
        <v>0</v>
      </c>
      <c r="S17" s="502">
        <v>0</v>
      </c>
      <c r="T17" s="502">
        <v>0</v>
      </c>
      <c r="U17" s="502">
        <v>0</v>
      </c>
      <c r="V17" s="499">
        <v>0</v>
      </c>
    </row>
    <row r="18" spans="1:22">
      <c r="A18" s="476">
        <v>9</v>
      </c>
      <c r="B18" s="475" t="s">
        <v>535</v>
      </c>
      <c r="C18" s="504">
        <v>0</v>
      </c>
      <c r="D18" s="504">
        <v>0</v>
      </c>
      <c r="E18" s="504">
        <v>0</v>
      </c>
      <c r="F18" s="504">
        <v>0</v>
      </c>
      <c r="G18" s="504">
        <v>0</v>
      </c>
      <c r="H18" s="504">
        <v>0</v>
      </c>
      <c r="I18" s="504">
        <v>0</v>
      </c>
      <c r="J18" s="504">
        <v>0</v>
      </c>
      <c r="K18" s="504">
        <v>0</v>
      </c>
      <c r="L18" s="504">
        <v>0</v>
      </c>
      <c r="M18" s="504">
        <v>0</v>
      </c>
      <c r="N18" s="504">
        <v>0</v>
      </c>
      <c r="O18" s="504">
        <v>0</v>
      </c>
      <c r="P18" s="504">
        <v>0</v>
      </c>
      <c r="Q18" s="504">
        <v>0</v>
      </c>
      <c r="R18" s="504">
        <v>0</v>
      </c>
      <c r="S18" s="501">
        <v>0</v>
      </c>
      <c r="T18" s="501">
        <v>0</v>
      </c>
      <c r="U18" s="501">
        <v>0</v>
      </c>
      <c r="V18" s="498">
        <v>0</v>
      </c>
    </row>
    <row r="19" spans="1:22">
      <c r="A19" s="474">
        <v>10</v>
      </c>
      <c r="B19" s="473" t="s">
        <v>546</v>
      </c>
      <c r="C19" s="503">
        <v>34052682.116600029</v>
      </c>
      <c r="D19" s="503">
        <v>30044561.878200028</v>
      </c>
      <c r="E19" s="503">
        <v>1409651.8</v>
      </c>
      <c r="F19" s="503">
        <v>2598468.4384000003</v>
      </c>
      <c r="G19" s="503">
        <v>0</v>
      </c>
      <c r="H19" s="503">
        <v>34812095.341761149</v>
      </c>
      <c r="I19" s="503">
        <v>30485601.820543621</v>
      </c>
      <c r="J19" s="503">
        <v>1418407.4025744696</v>
      </c>
      <c r="K19" s="503">
        <v>2908086.118643051</v>
      </c>
      <c r="L19" s="503">
        <v>0</v>
      </c>
      <c r="M19" s="503">
        <v>1372689.4564916443</v>
      </c>
      <c r="N19" s="503">
        <v>689401.25136708224</v>
      </c>
      <c r="O19" s="503">
        <v>21643.901490017663</v>
      </c>
      <c r="P19" s="503">
        <v>661644.30363454414</v>
      </c>
      <c r="Q19" s="503">
        <v>0</v>
      </c>
      <c r="R19" s="503">
        <v>1829</v>
      </c>
      <c r="S19" s="500">
        <v>9.5869543770683976E-2</v>
      </c>
      <c r="T19" s="500">
        <v>0.10024650320961807</v>
      </c>
      <c r="U19" s="500">
        <v>9.6288210980816011E-2</v>
      </c>
      <c r="V19" s="497">
        <v>100.21134481984978</v>
      </c>
    </row>
    <row r="20" spans="1:22" ht="25.5">
      <c r="A20" s="472">
        <v>10.1</v>
      </c>
      <c r="B20" s="471" t="s">
        <v>550</v>
      </c>
      <c r="C20" s="467"/>
      <c r="D20" s="467"/>
      <c r="E20" s="467"/>
      <c r="F20" s="467"/>
      <c r="G20" s="467"/>
      <c r="H20" s="467"/>
      <c r="I20" s="467"/>
      <c r="J20" s="467"/>
      <c r="K20" s="467"/>
      <c r="L20" s="467"/>
      <c r="M20" s="467"/>
      <c r="N20" s="467"/>
      <c r="O20" s="467"/>
      <c r="P20" s="467"/>
      <c r="Q20" s="467"/>
      <c r="R20" s="467"/>
      <c r="S20" s="467"/>
      <c r="T20" s="467"/>
      <c r="U20" s="467"/>
      <c r="V20" s="467"/>
    </row>
    <row r="23" spans="1:22">
      <c r="C23" s="662"/>
      <c r="D23" s="662"/>
      <c r="E23" s="662"/>
      <c r="F23" s="662"/>
      <c r="G23" s="662"/>
      <c r="H23" s="662"/>
      <c r="I23" s="662"/>
      <c r="J23" s="662"/>
      <c r="K23" s="662"/>
      <c r="L23" s="662"/>
      <c r="M23" s="662"/>
      <c r="N23" s="662"/>
      <c r="O23" s="662"/>
      <c r="P23" s="662"/>
      <c r="Q23" s="662"/>
      <c r="R23" s="662"/>
      <c r="S23" s="662"/>
      <c r="T23" s="662"/>
      <c r="U23" s="662"/>
      <c r="V23" s="662"/>
    </row>
    <row r="24" spans="1:22">
      <c r="C24" s="662"/>
      <c r="D24" s="662"/>
      <c r="E24" s="662"/>
      <c r="F24" s="662"/>
      <c r="G24" s="662"/>
      <c r="H24" s="662"/>
      <c r="I24" s="662"/>
      <c r="J24" s="662"/>
      <c r="K24" s="662"/>
      <c r="L24" s="662"/>
      <c r="M24" s="662"/>
      <c r="N24" s="662"/>
      <c r="O24" s="662"/>
      <c r="P24" s="662"/>
      <c r="Q24" s="662"/>
      <c r="R24" s="662"/>
      <c r="S24" s="662"/>
      <c r="T24" s="662"/>
      <c r="U24" s="662"/>
      <c r="V24" s="662"/>
    </row>
    <row r="25" spans="1:22">
      <c r="C25" s="662"/>
      <c r="D25" s="662"/>
      <c r="E25" s="662"/>
      <c r="F25" s="662"/>
      <c r="G25" s="662"/>
      <c r="H25" s="662"/>
      <c r="I25" s="662"/>
      <c r="J25" s="662"/>
      <c r="K25" s="662"/>
      <c r="L25" s="662"/>
      <c r="M25" s="662"/>
      <c r="N25" s="662"/>
      <c r="O25" s="662"/>
      <c r="P25" s="662"/>
      <c r="Q25" s="662"/>
      <c r="R25" s="662"/>
      <c r="S25" s="662"/>
      <c r="T25" s="662"/>
      <c r="U25" s="662"/>
      <c r="V25" s="662"/>
    </row>
    <row r="26" spans="1:22">
      <c r="C26" s="662"/>
      <c r="D26" s="662"/>
      <c r="E26" s="662"/>
      <c r="F26" s="662"/>
      <c r="G26" s="662"/>
      <c r="H26" s="662"/>
      <c r="I26" s="662"/>
      <c r="J26" s="662"/>
      <c r="K26" s="662"/>
      <c r="L26" s="662"/>
      <c r="M26" s="662"/>
      <c r="N26" s="662"/>
      <c r="O26" s="662"/>
      <c r="P26" s="662"/>
      <c r="Q26" s="662"/>
      <c r="R26" s="662"/>
      <c r="S26" s="662"/>
      <c r="T26" s="662"/>
      <c r="U26" s="662"/>
      <c r="V26" s="662"/>
    </row>
    <row r="27" spans="1:22">
      <c r="C27" s="662"/>
      <c r="D27" s="662"/>
      <c r="E27" s="662"/>
      <c r="F27" s="662"/>
      <c r="G27" s="662"/>
      <c r="H27" s="662"/>
      <c r="I27" s="662"/>
      <c r="J27" s="662"/>
      <c r="K27" s="662"/>
      <c r="L27" s="662"/>
      <c r="M27" s="662"/>
      <c r="N27" s="662"/>
      <c r="O27" s="662"/>
      <c r="P27" s="662"/>
      <c r="Q27" s="662"/>
      <c r="R27" s="662"/>
      <c r="S27" s="662"/>
      <c r="T27" s="662"/>
      <c r="U27" s="662"/>
      <c r="V27" s="662"/>
    </row>
    <row r="28" spans="1:22">
      <c r="C28" s="662"/>
      <c r="D28" s="662"/>
      <c r="E28" s="662"/>
      <c r="F28" s="662"/>
      <c r="G28" s="662"/>
      <c r="H28" s="662"/>
      <c r="I28" s="662"/>
      <c r="J28" s="662"/>
      <c r="K28" s="662"/>
      <c r="L28" s="662"/>
      <c r="M28" s="662"/>
      <c r="N28" s="662"/>
      <c r="O28" s="662"/>
      <c r="P28" s="662"/>
      <c r="Q28" s="662"/>
      <c r="R28" s="662"/>
      <c r="S28" s="662"/>
      <c r="T28" s="662"/>
      <c r="U28" s="662"/>
      <c r="V28" s="662"/>
    </row>
    <row r="29" spans="1:22">
      <c r="C29" s="662"/>
      <c r="D29" s="662"/>
      <c r="E29" s="662"/>
      <c r="F29" s="662"/>
      <c r="G29" s="662"/>
      <c r="H29" s="662"/>
      <c r="I29" s="662"/>
      <c r="J29" s="662"/>
      <c r="K29" s="662"/>
      <c r="L29" s="662"/>
      <c r="M29" s="662"/>
      <c r="N29" s="662"/>
      <c r="O29" s="662"/>
      <c r="P29" s="662"/>
      <c r="Q29" s="662"/>
      <c r="R29" s="662"/>
      <c r="S29" s="662"/>
      <c r="T29" s="662"/>
      <c r="U29" s="662"/>
      <c r="V29" s="662"/>
    </row>
    <row r="30" spans="1:22">
      <c r="C30" s="662"/>
      <c r="D30" s="662"/>
      <c r="E30" s="662"/>
      <c r="F30" s="662"/>
      <c r="G30" s="662"/>
      <c r="H30" s="662"/>
      <c r="I30" s="662"/>
      <c r="J30" s="662"/>
      <c r="K30" s="662"/>
      <c r="L30" s="662"/>
      <c r="M30" s="662"/>
      <c r="N30" s="662"/>
      <c r="O30" s="662"/>
      <c r="P30" s="662"/>
      <c r="Q30" s="662"/>
      <c r="R30" s="662"/>
      <c r="S30" s="662"/>
      <c r="T30" s="662"/>
      <c r="U30" s="662"/>
      <c r="V30" s="662"/>
    </row>
    <row r="31" spans="1:22">
      <c r="C31" s="662"/>
      <c r="D31" s="662"/>
      <c r="E31" s="662"/>
      <c r="F31" s="662"/>
      <c r="G31" s="662"/>
      <c r="H31" s="662"/>
      <c r="I31" s="662"/>
      <c r="J31" s="662"/>
      <c r="K31" s="662"/>
      <c r="L31" s="662"/>
      <c r="M31" s="662"/>
      <c r="N31" s="662"/>
      <c r="O31" s="662"/>
      <c r="P31" s="662"/>
      <c r="Q31" s="662"/>
      <c r="R31" s="662"/>
      <c r="S31" s="662"/>
      <c r="T31" s="662"/>
      <c r="U31" s="662"/>
      <c r="V31" s="662"/>
    </row>
    <row r="32" spans="1:22">
      <c r="C32" s="662"/>
      <c r="D32" s="662"/>
      <c r="E32" s="662"/>
      <c r="F32" s="662"/>
      <c r="G32" s="662"/>
      <c r="H32" s="662"/>
      <c r="I32" s="662"/>
      <c r="J32" s="662"/>
      <c r="K32" s="662"/>
      <c r="L32" s="662"/>
      <c r="M32" s="662"/>
      <c r="N32" s="662"/>
      <c r="O32" s="662"/>
      <c r="P32" s="662"/>
      <c r="Q32" s="662"/>
      <c r="R32" s="662"/>
      <c r="S32" s="662"/>
      <c r="T32" s="662"/>
      <c r="U32" s="662"/>
      <c r="V32" s="662"/>
    </row>
    <row r="33" spans="3:22">
      <c r="C33" s="662"/>
      <c r="D33" s="662"/>
      <c r="E33" s="662"/>
      <c r="F33" s="662"/>
      <c r="G33" s="662"/>
      <c r="H33" s="662"/>
      <c r="I33" s="662"/>
      <c r="J33" s="662"/>
      <c r="K33" s="662"/>
      <c r="L33" s="662"/>
      <c r="M33" s="662"/>
      <c r="N33" s="662"/>
      <c r="O33" s="662"/>
      <c r="P33" s="662"/>
      <c r="Q33" s="662"/>
      <c r="R33" s="662"/>
      <c r="S33" s="662"/>
      <c r="T33" s="662"/>
      <c r="U33" s="662"/>
      <c r="V33" s="662"/>
    </row>
    <row r="34" spans="3:22">
      <c r="C34" s="662"/>
      <c r="D34" s="662"/>
      <c r="E34" s="662"/>
      <c r="F34" s="662"/>
      <c r="G34" s="662"/>
      <c r="H34" s="662"/>
      <c r="I34" s="662"/>
      <c r="J34" s="662"/>
      <c r="K34" s="662"/>
      <c r="L34" s="662"/>
      <c r="M34" s="662"/>
      <c r="N34" s="662"/>
      <c r="O34" s="662"/>
      <c r="P34" s="662"/>
      <c r="Q34" s="662"/>
      <c r="R34" s="662"/>
      <c r="S34" s="662"/>
      <c r="T34" s="662"/>
      <c r="U34" s="662"/>
      <c r="V34" s="662"/>
    </row>
    <row r="35" spans="3:22">
      <c r="C35" s="662"/>
      <c r="D35" s="662"/>
      <c r="E35" s="662"/>
      <c r="F35" s="662"/>
      <c r="G35" s="662"/>
      <c r="H35" s="662"/>
      <c r="I35" s="662"/>
      <c r="J35" s="662"/>
      <c r="K35" s="662"/>
      <c r="L35" s="662"/>
      <c r="M35" s="662"/>
      <c r="N35" s="662"/>
      <c r="O35" s="662"/>
      <c r="P35" s="662"/>
      <c r="Q35" s="662"/>
      <c r="R35" s="662"/>
      <c r="S35" s="662"/>
      <c r="T35" s="662"/>
      <c r="U35" s="662"/>
      <c r="V35" s="662"/>
    </row>
    <row r="36" spans="3:22">
      <c r="C36" s="662"/>
      <c r="D36" s="662"/>
      <c r="E36" s="662"/>
      <c r="F36" s="662"/>
      <c r="G36" s="662"/>
      <c r="H36" s="662"/>
      <c r="I36" s="662"/>
      <c r="J36" s="662"/>
      <c r="K36" s="662"/>
      <c r="L36" s="662"/>
      <c r="M36" s="662"/>
      <c r="N36" s="662"/>
      <c r="O36" s="662"/>
      <c r="P36" s="662"/>
      <c r="Q36" s="662"/>
      <c r="R36" s="662"/>
      <c r="S36" s="662"/>
      <c r="T36" s="662"/>
      <c r="U36" s="662"/>
      <c r="V36" s="662"/>
    </row>
    <row r="37" spans="3:22">
      <c r="C37" s="662"/>
      <c r="D37" s="662"/>
      <c r="E37" s="662"/>
      <c r="F37" s="662"/>
      <c r="G37" s="662"/>
      <c r="H37" s="662"/>
      <c r="I37" s="662"/>
      <c r="J37" s="662"/>
      <c r="K37" s="662"/>
      <c r="L37" s="662"/>
      <c r="M37" s="662"/>
      <c r="N37" s="662"/>
      <c r="O37" s="662"/>
      <c r="P37" s="662"/>
      <c r="Q37" s="662"/>
      <c r="R37" s="662"/>
      <c r="S37" s="662"/>
      <c r="T37" s="662"/>
      <c r="U37" s="662"/>
      <c r="V37" s="662"/>
    </row>
    <row r="38" spans="3:22">
      <c r="C38" s="662"/>
      <c r="D38" s="662"/>
      <c r="E38" s="662"/>
      <c r="F38" s="662"/>
      <c r="G38" s="662"/>
      <c r="H38" s="662"/>
      <c r="I38" s="662"/>
      <c r="J38" s="662"/>
      <c r="K38" s="662"/>
      <c r="L38" s="662"/>
      <c r="M38" s="662"/>
      <c r="N38" s="662"/>
      <c r="O38" s="662"/>
      <c r="P38" s="662"/>
      <c r="Q38" s="662"/>
      <c r="R38" s="662"/>
      <c r="S38" s="662"/>
      <c r="T38" s="662"/>
      <c r="U38" s="662"/>
      <c r="V38" s="662"/>
    </row>
    <row r="39" spans="3:22">
      <c r="C39" s="662"/>
      <c r="D39" s="662"/>
      <c r="E39" s="662"/>
      <c r="F39" s="662"/>
      <c r="G39" s="662"/>
      <c r="H39" s="662"/>
      <c r="I39" s="662"/>
      <c r="J39" s="662"/>
      <c r="K39" s="662"/>
      <c r="L39" s="662"/>
      <c r="M39" s="662"/>
      <c r="N39" s="662"/>
      <c r="O39" s="662"/>
      <c r="P39" s="662"/>
      <c r="Q39" s="662"/>
      <c r="R39" s="662"/>
      <c r="S39" s="662"/>
      <c r="T39" s="662"/>
      <c r="U39" s="662"/>
      <c r="V39" s="662"/>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69"/>
  <sheetViews>
    <sheetView zoomScaleNormal="100" workbookViewId="0"/>
  </sheetViews>
  <sheetFormatPr defaultRowHeight="15"/>
  <cols>
    <col min="1" max="1" width="8.7109375" style="364"/>
    <col min="2" max="2" width="69.28515625" style="365" customWidth="1"/>
    <col min="3" max="3" width="13.5703125" style="616" customWidth="1"/>
    <col min="4" max="4" width="14.42578125" style="616" customWidth="1"/>
    <col min="5" max="5" width="14.28515625" style="616" bestFit="1" customWidth="1"/>
    <col min="6" max="6" width="13.140625" style="616" customWidth="1"/>
    <col min="7" max="8" width="14.28515625" style="616" bestFit="1" customWidth="1"/>
  </cols>
  <sheetData>
    <row r="1" spans="1:15" s="5" customFormat="1" ht="14.25">
      <c r="A1" s="2" t="s">
        <v>30</v>
      </c>
      <c r="B1" s="3" t="str">
        <f>'Info '!C2</f>
        <v>JSC Cartu Bank</v>
      </c>
      <c r="C1" s="613"/>
      <c r="D1" s="614"/>
      <c r="E1" s="614"/>
      <c r="F1" s="614"/>
      <c r="G1" s="614"/>
      <c r="H1" s="615"/>
    </row>
    <row r="2" spans="1:15" s="5" customFormat="1" ht="14.25">
      <c r="A2" s="2" t="s">
        <v>31</v>
      </c>
      <c r="B2" s="663">
        <f>'1. key ratios '!B2</f>
        <v>45107</v>
      </c>
      <c r="C2" s="613"/>
      <c r="D2" s="614"/>
      <c r="E2" s="614"/>
      <c r="F2" s="614"/>
      <c r="G2" s="614"/>
      <c r="H2" s="615"/>
    </row>
    <row r="3" spans="1:15" s="5" customFormat="1" ht="14.25">
      <c r="A3" s="2"/>
      <c r="B3" s="3"/>
      <c r="C3" s="613"/>
      <c r="D3" s="614"/>
      <c r="E3" s="614"/>
      <c r="F3" s="614"/>
      <c r="G3" s="614"/>
      <c r="H3" s="615"/>
    </row>
    <row r="4" spans="1:15" ht="21" customHeight="1">
      <c r="A4" s="691" t="s">
        <v>6</v>
      </c>
      <c r="B4" s="692" t="s">
        <v>557</v>
      </c>
      <c r="C4" s="694" t="s">
        <v>558</v>
      </c>
      <c r="D4" s="694"/>
      <c r="E4" s="694"/>
      <c r="F4" s="694" t="s">
        <v>559</v>
      </c>
      <c r="G4" s="694"/>
      <c r="H4" s="695"/>
    </row>
    <row r="5" spans="1:15" ht="21" customHeight="1">
      <c r="A5" s="691"/>
      <c r="B5" s="693"/>
      <c r="C5" s="582" t="s">
        <v>32</v>
      </c>
      <c r="D5" s="582" t="s">
        <v>33</v>
      </c>
      <c r="E5" s="582" t="s">
        <v>34</v>
      </c>
      <c r="F5" s="582" t="s">
        <v>32</v>
      </c>
      <c r="G5" s="582" t="s">
        <v>33</v>
      </c>
      <c r="H5" s="582" t="s">
        <v>34</v>
      </c>
    </row>
    <row r="6" spans="1:15" ht="26.45" customHeight="1">
      <c r="A6" s="691"/>
      <c r="B6" s="336" t="s">
        <v>560</v>
      </c>
      <c r="C6" s="696"/>
      <c r="D6" s="697"/>
      <c r="E6" s="697"/>
      <c r="F6" s="697"/>
      <c r="G6" s="697"/>
      <c r="H6" s="698"/>
    </row>
    <row r="7" spans="1:15" ht="23.1" customHeight="1">
      <c r="A7" s="337">
        <v>1</v>
      </c>
      <c r="B7" s="338" t="s">
        <v>561</v>
      </c>
      <c r="C7" s="581">
        <f>SUM(C8:C10)</f>
        <v>50308713.72696507</v>
      </c>
      <c r="D7" s="581">
        <f>SUM(D8:D10)</f>
        <v>610471022.91608059</v>
      </c>
      <c r="E7" s="580">
        <f>C7+D7</f>
        <v>660779736.64304566</v>
      </c>
      <c r="F7" s="581">
        <f>SUM(F8:F10)</f>
        <v>34486407.410386704</v>
      </c>
      <c r="G7" s="581">
        <f>SUM(G8:G10)</f>
        <v>583345139.21417999</v>
      </c>
      <c r="H7" s="580">
        <f>F7+G7</f>
        <v>617831546.62456667</v>
      </c>
      <c r="J7" s="617"/>
      <c r="K7" s="617"/>
      <c r="L7" s="617"/>
      <c r="M7" s="617"/>
      <c r="N7" s="617"/>
      <c r="O7" s="617"/>
    </row>
    <row r="8" spans="1:15">
      <c r="A8" s="337">
        <v>1.1000000000000001</v>
      </c>
      <c r="B8" s="339" t="s">
        <v>562</v>
      </c>
      <c r="C8" s="581">
        <v>9520492.1500000004</v>
      </c>
      <c r="D8" s="581">
        <v>22266914.627100002</v>
      </c>
      <c r="E8" s="580">
        <f t="shared" ref="E8:E36" si="0">C8+D8</f>
        <v>31787406.777100004</v>
      </c>
      <c r="F8" s="581">
        <v>7940930</v>
      </c>
      <c r="G8" s="581">
        <v>13612049.691799998</v>
      </c>
      <c r="H8" s="580">
        <f t="shared" ref="H8:H36" si="1">F8+G8</f>
        <v>21552979.691799998</v>
      </c>
      <c r="J8" s="617"/>
      <c r="K8" s="617"/>
      <c r="L8" s="617"/>
      <c r="M8" s="617"/>
      <c r="N8" s="617"/>
      <c r="O8" s="617"/>
    </row>
    <row r="9" spans="1:15">
      <c r="A9" s="337">
        <v>1.2</v>
      </c>
      <c r="B9" s="339" t="s">
        <v>563</v>
      </c>
      <c r="C9" s="581">
        <v>5435382.8600000003</v>
      </c>
      <c r="D9" s="581">
        <v>240529266.42573729</v>
      </c>
      <c r="E9" s="580">
        <f t="shared" si="0"/>
        <v>245964649.28573731</v>
      </c>
      <c r="F9" s="581">
        <v>1586611.38</v>
      </c>
      <c r="G9" s="581">
        <v>247472891.14238796</v>
      </c>
      <c r="H9" s="580">
        <f t="shared" si="1"/>
        <v>249059502.52238795</v>
      </c>
      <c r="J9" s="617"/>
      <c r="K9" s="617"/>
      <c r="L9" s="617"/>
      <c r="M9" s="617"/>
      <c r="N9" s="617"/>
      <c r="O9" s="617"/>
    </row>
    <row r="10" spans="1:15">
      <c r="A10" s="337">
        <v>1.3</v>
      </c>
      <c r="B10" s="339" t="s">
        <v>564</v>
      </c>
      <c r="C10" s="581">
        <v>35352838.716965064</v>
      </c>
      <c r="D10" s="581">
        <v>347674841.86324328</v>
      </c>
      <c r="E10" s="580">
        <f t="shared" si="0"/>
        <v>383027680.58020836</v>
      </c>
      <c r="F10" s="581">
        <v>24958866.030386705</v>
      </c>
      <c r="G10" s="581">
        <v>322260198.37999207</v>
      </c>
      <c r="H10" s="580">
        <f t="shared" si="1"/>
        <v>347219064.41037875</v>
      </c>
      <c r="J10" s="617"/>
      <c r="K10" s="617"/>
      <c r="L10" s="617"/>
      <c r="M10" s="617"/>
      <c r="N10" s="617"/>
      <c r="O10" s="617"/>
    </row>
    <row r="11" spans="1:15">
      <c r="A11" s="337">
        <v>2</v>
      </c>
      <c r="B11" s="340" t="s">
        <v>565</v>
      </c>
      <c r="C11" s="581">
        <v>0</v>
      </c>
      <c r="D11" s="581">
        <v>0</v>
      </c>
      <c r="E11" s="580">
        <f t="shared" si="0"/>
        <v>0</v>
      </c>
      <c r="F11" s="581">
        <v>0</v>
      </c>
      <c r="G11" s="581">
        <v>0</v>
      </c>
      <c r="H11" s="580">
        <f t="shared" si="1"/>
        <v>0</v>
      </c>
      <c r="J11" s="617"/>
      <c r="K11" s="617"/>
      <c r="L11" s="617"/>
      <c r="M11" s="617"/>
      <c r="N11" s="617"/>
      <c r="O11" s="617"/>
    </row>
    <row r="12" spans="1:15">
      <c r="A12" s="337">
        <v>2.1</v>
      </c>
      <c r="B12" s="341" t="s">
        <v>566</v>
      </c>
      <c r="C12" s="581">
        <v>0</v>
      </c>
      <c r="D12" s="581">
        <v>0</v>
      </c>
      <c r="E12" s="580">
        <f t="shared" si="0"/>
        <v>0</v>
      </c>
      <c r="F12" s="581">
        <v>0</v>
      </c>
      <c r="G12" s="581">
        <v>0</v>
      </c>
      <c r="H12" s="580">
        <f t="shared" si="1"/>
        <v>0</v>
      </c>
      <c r="J12" s="617"/>
      <c r="K12" s="617"/>
      <c r="L12" s="617"/>
      <c r="M12" s="617"/>
      <c r="N12" s="617"/>
      <c r="O12" s="617"/>
    </row>
    <row r="13" spans="1:15" ht="26.45" customHeight="1">
      <c r="A13" s="337">
        <v>3</v>
      </c>
      <c r="B13" s="342" t="s">
        <v>567</v>
      </c>
      <c r="C13" s="581">
        <v>0</v>
      </c>
      <c r="D13" s="581">
        <v>0</v>
      </c>
      <c r="E13" s="580">
        <f t="shared" si="0"/>
        <v>0</v>
      </c>
      <c r="F13" s="581">
        <v>0</v>
      </c>
      <c r="G13" s="581">
        <v>0</v>
      </c>
      <c r="H13" s="580">
        <f t="shared" si="1"/>
        <v>0</v>
      </c>
      <c r="J13" s="617"/>
      <c r="K13" s="617"/>
      <c r="L13" s="617"/>
      <c r="M13" s="617"/>
      <c r="N13" s="617"/>
      <c r="O13" s="617"/>
    </row>
    <row r="14" spans="1:15" ht="26.45" customHeight="1">
      <c r="A14" s="337">
        <v>4</v>
      </c>
      <c r="B14" s="343" t="s">
        <v>568</v>
      </c>
      <c r="C14" s="581">
        <v>0</v>
      </c>
      <c r="D14" s="581">
        <v>0</v>
      </c>
      <c r="E14" s="580">
        <f t="shared" si="0"/>
        <v>0</v>
      </c>
      <c r="F14" s="581">
        <v>0</v>
      </c>
      <c r="G14" s="581">
        <v>0</v>
      </c>
      <c r="H14" s="580">
        <f t="shared" si="1"/>
        <v>0</v>
      </c>
      <c r="J14" s="617"/>
      <c r="K14" s="617"/>
      <c r="L14" s="617"/>
      <c r="M14" s="617"/>
      <c r="N14" s="617"/>
      <c r="O14" s="617"/>
    </row>
    <row r="15" spans="1:15" ht="24.6" customHeight="1">
      <c r="A15" s="337">
        <v>5</v>
      </c>
      <c r="B15" s="344" t="s">
        <v>569</v>
      </c>
      <c r="C15" s="579">
        <f>SUM(C16:C18)</f>
        <v>7234737.6699999999</v>
      </c>
      <c r="D15" s="579">
        <f>SUM(D16:D18)</f>
        <v>0</v>
      </c>
      <c r="E15" s="578">
        <f t="shared" si="0"/>
        <v>7234737.6699999999</v>
      </c>
      <c r="F15" s="579">
        <f>SUM(F16:F18)</f>
        <v>7036470</v>
      </c>
      <c r="G15" s="579">
        <f>SUM(G16:G18)</f>
        <v>0</v>
      </c>
      <c r="H15" s="578">
        <f t="shared" si="1"/>
        <v>7036470</v>
      </c>
      <c r="J15" s="617"/>
      <c r="K15" s="617"/>
      <c r="L15" s="617"/>
      <c r="M15" s="617"/>
      <c r="N15" s="617"/>
      <c r="O15" s="617"/>
    </row>
    <row r="16" spans="1:15">
      <c r="A16" s="337">
        <v>5.0999999999999996</v>
      </c>
      <c r="B16" s="345" t="s">
        <v>570</v>
      </c>
      <c r="C16" s="581">
        <v>168050</v>
      </c>
      <c r="D16" s="581">
        <v>0</v>
      </c>
      <c r="E16" s="580">
        <f t="shared" si="0"/>
        <v>168050</v>
      </c>
      <c r="F16" s="581">
        <v>161000</v>
      </c>
      <c r="G16" s="581">
        <v>0</v>
      </c>
      <c r="H16" s="580">
        <f t="shared" si="1"/>
        <v>161000</v>
      </c>
      <c r="J16" s="617"/>
      <c r="K16" s="617"/>
      <c r="L16" s="617"/>
      <c r="M16" s="617"/>
      <c r="N16" s="617"/>
      <c r="O16" s="617"/>
    </row>
    <row r="17" spans="1:15">
      <c r="A17" s="337">
        <v>5.2</v>
      </c>
      <c r="B17" s="345" t="s">
        <v>571</v>
      </c>
      <c r="C17" s="581">
        <v>7066687.6699999999</v>
      </c>
      <c r="D17" s="581">
        <v>0</v>
      </c>
      <c r="E17" s="580">
        <f t="shared" si="0"/>
        <v>7066687.6699999999</v>
      </c>
      <c r="F17" s="581">
        <v>6875470</v>
      </c>
      <c r="G17" s="581">
        <v>0</v>
      </c>
      <c r="H17" s="580">
        <f t="shared" si="1"/>
        <v>6875470</v>
      </c>
      <c r="J17" s="617"/>
      <c r="K17" s="617"/>
      <c r="L17" s="617"/>
      <c r="M17" s="617"/>
      <c r="N17" s="617"/>
      <c r="O17" s="617"/>
    </row>
    <row r="18" spans="1:15">
      <c r="A18" s="337">
        <v>5.3</v>
      </c>
      <c r="B18" s="346" t="s">
        <v>572</v>
      </c>
      <c r="C18" s="581">
        <v>0</v>
      </c>
      <c r="D18" s="581">
        <v>0</v>
      </c>
      <c r="E18" s="580">
        <f t="shared" si="0"/>
        <v>0</v>
      </c>
      <c r="F18" s="581">
        <v>0</v>
      </c>
      <c r="G18" s="581">
        <v>0</v>
      </c>
      <c r="H18" s="580">
        <f t="shared" si="1"/>
        <v>0</v>
      </c>
      <c r="J18" s="617"/>
      <c r="K18" s="617"/>
      <c r="L18" s="617"/>
      <c r="M18" s="617"/>
      <c r="N18" s="617"/>
      <c r="O18" s="617"/>
    </row>
    <row r="19" spans="1:15">
      <c r="A19" s="337">
        <v>6</v>
      </c>
      <c r="B19" s="342" t="s">
        <v>573</v>
      </c>
      <c r="C19" s="581">
        <f>SUM(C20:C21)</f>
        <v>339051885.89714611</v>
      </c>
      <c r="D19" s="581">
        <f>SUM(D20:D21)</f>
        <v>465553009.49485141</v>
      </c>
      <c r="E19" s="580">
        <f t="shared" si="0"/>
        <v>804604895.39199758</v>
      </c>
      <c r="F19" s="581">
        <f>SUM(F20:F21)</f>
        <v>379635791.18490523</v>
      </c>
      <c r="G19" s="581">
        <f>SUM(G20:G21)</f>
        <v>478863411.70336938</v>
      </c>
      <c r="H19" s="580">
        <f t="shared" si="1"/>
        <v>858499202.88827467</v>
      </c>
      <c r="J19" s="617"/>
      <c r="K19" s="617"/>
      <c r="L19" s="617"/>
      <c r="M19" s="617"/>
      <c r="N19" s="617"/>
      <c r="O19" s="617"/>
    </row>
    <row r="20" spans="1:15">
      <c r="A20" s="337">
        <v>6.1</v>
      </c>
      <c r="B20" s="345" t="s">
        <v>571</v>
      </c>
      <c r="C20" s="581">
        <v>50723652.916073769</v>
      </c>
      <c r="D20" s="581">
        <v>0</v>
      </c>
      <c r="E20" s="580">
        <f t="shared" si="0"/>
        <v>50723652.916073769</v>
      </c>
      <c r="F20" s="581">
        <v>24944042.22571623</v>
      </c>
      <c r="G20" s="581">
        <v>0</v>
      </c>
      <c r="H20" s="580">
        <f t="shared" si="1"/>
        <v>24944042.22571623</v>
      </c>
      <c r="J20" s="617"/>
      <c r="K20" s="617"/>
      <c r="L20" s="617"/>
      <c r="M20" s="617"/>
      <c r="N20" s="617"/>
      <c r="O20" s="617"/>
    </row>
    <row r="21" spans="1:15">
      <c r="A21" s="337">
        <v>6.2</v>
      </c>
      <c r="B21" s="346" t="s">
        <v>572</v>
      </c>
      <c r="C21" s="581">
        <v>288328232.98107231</v>
      </c>
      <c r="D21" s="581">
        <v>465553009.49485141</v>
      </c>
      <c r="E21" s="580">
        <f t="shared" si="0"/>
        <v>753881242.47592378</v>
      </c>
      <c r="F21" s="581">
        <v>354691748.959189</v>
      </c>
      <c r="G21" s="581">
        <v>478863411.70336938</v>
      </c>
      <c r="H21" s="580">
        <f t="shared" si="1"/>
        <v>833555160.66255832</v>
      </c>
      <c r="J21" s="617"/>
      <c r="K21" s="617"/>
      <c r="L21" s="617"/>
      <c r="M21" s="617"/>
      <c r="N21" s="617"/>
      <c r="O21" s="617"/>
    </row>
    <row r="22" spans="1:15">
      <c r="A22" s="337">
        <v>7</v>
      </c>
      <c r="B22" s="340" t="s">
        <v>574</v>
      </c>
      <c r="C22" s="581">
        <v>9372300</v>
      </c>
      <c r="D22" s="581">
        <v>0</v>
      </c>
      <c r="E22" s="580">
        <f t="shared" si="0"/>
        <v>9372300</v>
      </c>
      <c r="F22" s="581">
        <v>9372300</v>
      </c>
      <c r="G22" s="581">
        <v>0</v>
      </c>
      <c r="H22" s="580">
        <f t="shared" si="1"/>
        <v>9372300</v>
      </c>
      <c r="J22" s="617"/>
      <c r="K22" s="617"/>
      <c r="L22" s="617"/>
      <c r="M22" s="617"/>
      <c r="N22" s="617"/>
      <c r="O22" s="617"/>
    </row>
    <row r="23" spans="1:15">
      <c r="A23" s="337">
        <v>8</v>
      </c>
      <c r="B23" s="347" t="s">
        <v>575</v>
      </c>
      <c r="C23" s="581">
        <v>108050736.29584004</v>
      </c>
      <c r="D23" s="581">
        <v>0</v>
      </c>
      <c r="E23" s="580">
        <f t="shared" si="0"/>
        <v>108050736.29584004</v>
      </c>
      <c r="F23" s="581">
        <v>70968813.424447447</v>
      </c>
      <c r="G23" s="581">
        <v>0</v>
      </c>
      <c r="H23" s="580">
        <f t="shared" si="1"/>
        <v>70968813.424447447</v>
      </c>
      <c r="J23" s="617"/>
      <c r="K23" s="617"/>
      <c r="L23" s="617"/>
      <c r="M23" s="617"/>
      <c r="N23" s="617"/>
      <c r="O23" s="617"/>
    </row>
    <row r="24" spans="1:15">
      <c r="A24" s="337">
        <v>9</v>
      </c>
      <c r="B24" s="343" t="s">
        <v>576</v>
      </c>
      <c r="C24" s="581">
        <f>SUM(C25:C26)</f>
        <v>14881728.141529512</v>
      </c>
      <c r="D24" s="581">
        <f>SUM(D25:D26)</f>
        <v>0</v>
      </c>
      <c r="E24" s="580">
        <f t="shared" si="0"/>
        <v>14881728.141529512</v>
      </c>
      <c r="F24" s="581">
        <f>SUM(F25:F26)</f>
        <v>14740368.78781887</v>
      </c>
      <c r="G24" s="581">
        <f>SUM(G25:G26)</f>
        <v>0</v>
      </c>
      <c r="H24" s="580">
        <f t="shared" si="1"/>
        <v>14740368.78781887</v>
      </c>
      <c r="J24" s="617"/>
      <c r="K24" s="617"/>
      <c r="L24" s="617"/>
      <c r="M24" s="617"/>
      <c r="N24" s="617"/>
      <c r="O24" s="617"/>
    </row>
    <row r="25" spans="1:15">
      <c r="A25" s="337">
        <v>9.1</v>
      </c>
      <c r="B25" s="345" t="s">
        <v>577</v>
      </c>
      <c r="C25" s="581">
        <v>14881728.141529512</v>
      </c>
      <c r="D25" s="581">
        <v>0</v>
      </c>
      <c r="E25" s="580">
        <f t="shared" si="0"/>
        <v>14881728.141529512</v>
      </c>
      <c r="F25" s="581">
        <v>14740368.78781887</v>
      </c>
      <c r="G25" s="581">
        <v>0</v>
      </c>
      <c r="H25" s="580">
        <f t="shared" si="1"/>
        <v>14740368.78781887</v>
      </c>
      <c r="J25" s="617"/>
      <c r="K25" s="617"/>
      <c r="L25" s="617"/>
      <c r="M25" s="617"/>
      <c r="N25" s="617"/>
      <c r="O25" s="617"/>
    </row>
    <row r="26" spans="1:15">
      <c r="A26" s="337">
        <v>9.1999999999999993</v>
      </c>
      <c r="B26" s="345" t="s">
        <v>578</v>
      </c>
      <c r="C26" s="581">
        <v>0</v>
      </c>
      <c r="D26" s="581">
        <v>0</v>
      </c>
      <c r="E26" s="580">
        <f t="shared" si="0"/>
        <v>0</v>
      </c>
      <c r="F26" s="581">
        <v>0</v>
      </c>
      <c r="G26" s="581">
        <v>0</v>
      </c>
      <c r="H26" s="580">
        <f t="shared" si="1"/>
        <v>0</v>
      </c>
      <c r="J26" s="617"/>
      <c r="K26" s="617"/>
      <c r="L26" s="617"/>
      <c r="M26" s="617"/>
      <c r="N26" s="617"/>
      <c r="O26" s="617"/>
    </row>
    <row r="27" spans="1:15">
      <c r="A27" s="337">
        <v>10</v>
      </c>
      <c r="B27" s="343" t="s">
        <v>579</v>
      </c>
      <c r="C27" s="581">
        <f>SUM(C28:C29)</f>
        <v>5499614.5799999991</v>
      </c>
      <c r="D27" s="581">
        <f>SUM(D28:D29)</f>
        <v>0</v>
      </c>
      <c r="E27" s="580">
        <f t="shared" si="0"/>
        <v>5499614.5799999991</v>
      </c>
      <c r="F27" s="581">
        <f>SUM(F28:F29)</f>
        <v>3542072.310000001</v>
      </c>
      <c r="G27" s="581">
        <f>SUM(G28:G29)</f>
        <v>0</v>
      </c>
      <c r="H27" s="580">
        <f t="shared" si="1"/>
        <v>3542072.310000001</v>
      </c>
      <c r="J27" s="617"/>
      <c r="K27" s="617"/>
      <c r="L27" s="617"/>
      <c r="M27" s="617"/>
      <c r="N27" s="617"/>
      <c r="O27" s="617"/>
    </row>
    <row r="28" spans="1:15">
      <c r="A28" s="337">
        <v>10.1</v>
      </c>
      <c r="B28" s="345" t="s">
        <v>580</v>
      </c>
      <c r="C28" s="581">
        <v>0</v>
      </c>
      <c r="D28" s="581">
        <v>0</v>
      </c>
      <c r="E28" s="580">
        <f t="shared" si="0"/>
        <v>0</v>
      </c>
      <c r="F28" s="581">
        <v>0</v>
      </c>
      <c r="G28" s="581">
        <v>0</v>
      </c>
      <c r="H28" s="580">
        <f t="shared" si="1"/>
        <v>0</v>
      </c>
      <c r="J28" s="617"/>
      <c r="K28" s="617"/>
      <c r="L28" s="617"/>
      <c r="M28" s="617"/>
      <c r="N28" s="617"/>
      <c r="O28" s="617"/>
    </row>
    <row r="29" spans="1:15">
      <c r="A29" s="337">
        <v>10.199999999999999</v>
      </c>
      <c r="B29" s="345" t="s">
        <v>581</v>
      </c>
      <c r="C29" s="581">
        <v>5499614.5799999991</v>
      </c>
      <c r="D29" s="581">
        <v>0</v>
      </c>
      <c r="E29" s="580">
        <f t="shared" si="0"/>
        <v>5499614.5799999991</v>
      </c>
      <c r="F29" s="581">
        <v>3542072.310000001</v>
      </c>
      <c r="G29" s="581">
        <v>0</v>
      </c>
      <c r="H29" s="580">
        <f t="shared" si="1"/>
        <v>3542072.310000001</v>
      </c>
      <c r="J29" s="617"/>
      <c r="K29" s="617"/>
      <c r="L29" s="617"/>
      <c r="M29" s="617"/>
      <c r="N29" s="617"/>
      <c r="O29" s="617"/>
    </row>
    <row r="30" spans="1:15">
      <c r="A30" s="337">
        <v>11</v>
      </c>
      <c r="B30" s="343" t="s">
        <v>582</v>
      </c>
      <c r="C30" s="581">
        <f>SUM(C31:C32)</f>
        <v>0</v>
      </c>
      <c r="D30" s="581">
        <f>SUM(D31:D32)</f>
        <v>0</v>
      </c>
      <c r="E30" s="580">
        <f t="shared" si="0"/>
        <v>0</v>
      </c>
      <c r="F30" s="581">
        <f>SUM(F31:F32)</f>
        <v>0</v>
      </c>
      <c r="G30" s="581">
        <f>SUM(G31:G32)</f>
        <v>0</v>
      </c>
      <c r="H30" s="580">
        <f t="shared" si="1"/>
        <v>0</v>
      </c>
      <c r="J30" s="617"/>
      <c r="K30" s="617"/>
      <c r="L30" s="617"/>
      <c r="M30" s="617"/>
      <c r="N30" s="617"/>
      <c r="O30" s="617"/>
    </row>
    <row r="31" spans="1:15">
      <c r="A31" s="337">
        <v>11.1</v>
      </c>
      <c r="B31" s="345" t="s">
        <v>583</v>
      </c>
      <c r="C31" s="581">
        <v>0</v>
      </c>
      <c r="D31" s="581">
        <v>0</v>
      </c>
      <c r="E31" s="580">
        <f t="shared" si="0"/>
        <v>0</v>
      </c>
      <c r="F31" s="581">
        <v>0</v>
      </c>
      <c r="G31" s="581">
        <v>0</v>
      </c>
      <c r="H31" s="580">
        <f t="shared" si="1"/>
        <v>0</v>
      </c>
      <c r="J31" s="617"/>
      <c r="K31" s="617"/>
      <c r="L31" s="617"/>
      <c r="M31" s="617"/>
      <c r="N31" s="617"/>
      <c r="O31" s="617"/>
    </row>
    <row r="32" spans="1:15">
      <c r="A32" s="337">
        <v>11.2</v>
      </c>
      <c r="B32" s="345" t="s">
        <v>584</v>
      </c>
      <c r="C32" s="581">
        <v>0</v>
      </c>
      <c r="D32" s="581">
        <v>0</v>
      </c>
      <c r="E32" s="580">
        <f t="shared" si="0"/>
        <v>0</v>
      </c>
      <c r="F32" s="581">
        <v>0</v>
      </c>
      <c r="G32" s="581">
        <v>0</v>
      </c>
      <c r="H32" s="580">
        <f t="shared" si="1"/>
        <v>0</v>
      </c>
      <c r="J32" s="617"/>
      <c r="K32" s="617"/>
      <c r="L32" s="617"/>
      <c r="M32" s="617"/>
      <c r="N32" s="617"/>
      <c r="O32" s="617"/>
    </row>
    <row r="33" spans="1:15">
      <c r="A33" s="337">
        <v>13</v>
      </c>
      <c r="B33" s="343" t="s">
        <v>585</v>
      </c>
      <c r="C33" s="581">
        <v>4167810.3899999992</v>
      </c>
      <c r="D33" s="581">
        <v>327375.94630000001</v>
      </c>
      <c r="E33" s="580">
        <f t="shared" si="0"/>
        <v>4495186.3362999996</v>
      </c>
      <c r="F33" s="581">
        <v>3139504.8599999994</v>
      </c>
      <c r="G33" s="581">
        <v>203145.49810000003</v>
      </c>
      <c r="H33" s="580">
        <f t="shared" si="1"/>
        <v>3342650.3580999994</v>
      </c>
      <c r="J33" s="617"/>
      <c r="K33" s="617"/>
      <c r="L33" s="617"/>
      <c r="M33" s="617"/>
      <c r="N33" s="617"/>
      <c r="O33" s="617"/>
    </row>
    <row r="34" spans="1:15">
      <c r="A34" s="337">
        <v>13.1</v>
      </c>
      <c r="B34" s="348" t="s">
        <v>586</v>
      </c>
      <c r="C34" s="581">
        <v>0</v>
      </c>
      <c r="D34" s="581">
        <v>0</v>
      </c>
      <c r="E34" s="580">
        <f t="shared" si="0"/>
        <v>0</v>
      </c>
      <c r="F34" s="581">
        <v>0</v>
      </c>
      <c r="G34" s="581">
        <v>0</v>
      </c>
      <c r="H34" s="580">
        <f t="shared" si="1"/>
        <v>0</v>
      </c>
      <c r="J34" s="617"/>
      <c r="K34" s="617"/>
      <c r="L34" s="617"/>
      <c r="M34" s="617"/>
      <c r="N34" s="617"/>
      <c r="O34" s="617"/>
    </row>
    <row r="35" spans="1:15">
      <c r="A35" s="337">
        <v>13.2</v>
      </c>
      <c r="B35" s="348" t="s">
        <v>587</v>
      </c>
      <c r="C35" s="581">
        <v>0</v>
      </c>
      <c r="D35" s="581">
        <v>0</v>
      </c>
      <c r="E35" s="580">
        <f t="shared" si="0"/>
        <v>0</v>
      </c>
      <c r="F35" s="581">
        <v>0</v>
      </c>
      <c r="G35" s="581">
        <v>0</v>
      </c>
      <c r="H35" s="580">
        <f t="shared" si="1"/>
        <v>0</v>
      </c>
      <c r="J35" s="617"/>
      <c r="K35" s="617"/>
      <c r="L35" s="617"/>
      <c r="M35" s="617"/>
      <c r="N35" s="617"/>
      <c r="O35" s="617"/>
    </row>
    <row r="36" spans="1:15">
      <c r="A36" s="337">
        <v>14</v>
      </c>
      <c r="B36" s="349" t="s">
        <v>588</v>
      </c>
      <c r="C36" s="581">
        <f>SUM(C7,C11,C13,C14,C15,C19,C22,C23,C24,C27,C30,C33)</f>
        <v>538567526.70148075</v>
      </c>
      <c r="D36" s="581">
        <f>SUM(D7,D11,D13,D14,D15,D19,D22,D23,D24,D27,D30,D33)</f>
        <v>1076351408.3572321</v>
      </c>
      <c r="E36" s="580">
        <f t="shared" si="0"/>
        <v>1614918935.058713</v>
      </c>
      <c r="F36" s="581">
        <f>SUM(F7,F11,F13,F14,F15,F19,F22,F23,F24,F27,F30,F33)</f>
        <v>522921727.97755826</v>
      </c>
      <c r="G36" s="581">
        <f>SUM(G7,G11,G13,G14,G15,G19,G22,G23,G24,G27,G30,G33)</f>
        <v>1062411696.4156494</v>
      </c>
      <c r="H36" s="580">
        <f t="shared" si="1"/>
        <v>1585333424.3932076</v>
      </c>
      <c r="J36" s="617"/>
      <c r="K36" s="617"/>
      <c r="L36" s="617"/>
      <c r="M36" s="617"/>
      <c r="N36" s="617"/>
      <c r="O36" s="617"/>
    </row>
    <row r="37" spans="1:15" ht="22.5" customHeight="1">
      <c r="A37" s="337"/>
      <c r="B37" s="350" t="s">
        <v>589</v>
      </c>
      <c r="C37" s="696"/>
      <c r="D37" s="697"/>
      <c r="E37" s="697"/>
      <c r="F37" s="697"/>
      <c r="G37" s="697"/>
      <c r="H37" s="698"/>
      <c r="J37" s="617"/>
      <c r="K37" s="617"/>
      <c r="L37" s="617"/>
      <c r="M37" s="617"/>
      <c r="N37" s="617"/>
      <c r="O37" s="617"/>
    </row>
    <row r="38" spans="1:15">
      <c r="A38" s="337">
        <v>15</v>
      </c>
      <c r="B38" s="351" t="s">
        <v>590</v>
      </c>
      <c r="C38" s="577">
        <v>0</v>
      </c>
      <c r="D38" s="577">
        <v>0</v>
      </c>
      <c r="E38" s="576">
        <f>C38+D38</f>
        <v>0</v>
      </c>
      <c r="F38" s="577">
        <v>0</v>
      </c>
      <c r="G38" s="577">
        <v>0</v>
      </c>
      <c r="H38" s="576">
        <f>F38+G38</f>
        <v>0</v>
      </c>
      <c r="J38" s="617"/>
      <c r="K38" s="617"/>
      <c r="L38" s="617"/>
      <c r="M38" s="617"/>
      <c r="N38" s="617"/>
      <c r="O38" s="617"/>
    </row>
    <row r="39" spans="1:15">
      <c r="A39" s="352">
        <v>15.1</v>
      </c>
      <c r="B39" s="353" t="s">
        <v>566</v>
      </c>
      <c r="C39" s="577">
        <v>0</v>
      </c>
      <c r="D39" s="577">
        <v>0</v>
      </c>
      <c r="E39" s="576">
        <f t="shared" ref="E39:E53" si="2">C39+D39</f>
        <v>0</v>
      </c>
      <c r="F39" s="577">
        <v>0</v>
      </c>
      <c r="G39" s="577">
        <v>0</v>
      </c>
      <c r="H39" s="576">
        <f t="shared" ref="H39:H53" si="3">F39+G39</f>
        <v>0</v>
      </c>
      <c r="J39" s="617"/>
      <c r="K39" s="617"/>
      <c r="L39" s="617"/>
      <c r="M39" s="617"/>
      <c r="N39" s="617"/>
      <c r="O39" s="617"/>
    </row>
    <row r="40" spans="1:15" ht="24" customHeight="1">
      <c r="A40" s="352">
        <v>16</v>
      </c>
      <c r="B40" s="340" t="s">
        <v>591</v>
      </c>
      <c r="C40" s="577">
        <v>0</v>
      </c>
      <c r="D40" s="577">
        <v>0</v>
      </c>
      <c r="E40" s="576">
        <f t="shared" si="2"/>
        <v>0</v>
      </c>
      <c r="F40" s="577">
        <v>0</v>
      </c>
      <c r="G40" s="577">
        <v>0</v>
      </c>
      <c r="H40" s="576">
        <f t="shared" si="3"/>
        <v>0</v>
      </c>
      <c r="J40" s="617"/>
      <c r="K40" s="617"/>
      <c r="L40" s="617"/>
      <c r="M40" s="617"/>
      <c r="N40" s="617"/>
      <c r="O40" s="617"/>
    </row>
    <row r="41" spans="1:15">
      <c r="A41" s="352">
        <v>17</v>
      </c>
      <c r="B41" s="340" t="s">
        <v>592</v>
      </c>
      <c r="C41" s="577">
        <f>SUM(C42:C45)</f>
        <v>187370912.58997384</v>
      </c>
      <c r="D41" s="577">
        <f>SUM(D42:D45)</f>
        <v>943922147.71546423</v>
      </c>
      <c r="E41" s="576">
        <f t="shared" si="2"/>
        <v>1131293060.305438</v>
      </c>
      <c r="F41" s="577">
        <f>SUM(F42:F45)</f>
        <v>182508596.5409703</v>
      </c>
      <c r="G41" s="577">
        <f>SUM(G42:G45)</f>
        <v>930153970.03079998</v>
      </c>
      <c r="H41" s="576">
        <f t="shared" si="3"/>
        <v>1112662566.5717702</v>
      </c>
      <c r="J41" s="617"/>
      <c r="K41" s="617"/>
      <c r="L41" s="617"/>
      <c r="M41" s="617"/>
      <c r="N41" s="617"/>
      <c r="O41" s="617"/>
    </row>
    <row r="42" spans="1:15">
      <c r="A42" s="352">
        <v>17.100000000000001</v>
      </c>
      <c r="B42" s="354" t="s">
        <v>593</v>
      </c>
      <c r="C42" s="577">
        <v>185677174.27000001</v>
      </c>
      <c r="D42" s="577">
        <v>943583422.97979999</v>
      </c>
      <c r="E42" s="576">
        <f t="shared" si="2"/>
        <v>1129260597.2498</v>
      </c>
      <c r="F42" s="577">
        <v>179456016.59000003</v>
      </c>
      <c r="G42" s="577">
        <v>929962147.56799996</v>
      </c>
      <c r="H42" s="576">
        <f t="shared" si="3"/>
        <v>1109418164.158</v>
      </c>
      <c r="J42" s="617"/>
      <c r="K42" s="617"/>
      <c r="L42" s="617"/>
      <c r="M42" s="617"/>
      <c r="N42" s="617"/>
      <c r="O42" s="617"/>
    </row>
    <row r="43" spans="1:15">
      <c r="A43" s="352">
        <v>17.2</v>
      </c>
      <c r="B43" s="355" t="s">
        <v>594</v>
      </c>
      <c r="C43" s="577">
        <v>0</v>
      </c>
      <c r="D43" s="577">
        <v>0</v>
      </c>
      <c r="E43" s="576">
        <f t="shared" si="2"/>
        <v>0</v>
      </c>
      <c r="F43" s="577">
        <v>0</v>
      </c>
      <c r="G43" s="577">
        <v>0</v>
      </c>
      <c r="H43" s="576">
        <f t="shared" si="3"/>
        <v>0</v>
      </c>
      <c r="J43" s="617"/>
      <c r="K43" s="617"/>
      <c r="L43" s="617"/>
      <c r="M43" s="617"/>
      <c r="N43" s="617"/>
      <c r="O43" s="617"/>
    </row>
    <row r="44" spans="1:15">
      <c r="A44" s="352">
        <v>17.3</v>
      </c>
      <c r="B44" s="354" t="s">
        <v>595</v>
      </c>
      <c r="C44" s="577">
        <v>0</v>
      </c>
      <c r="D44" s="577">
        <v>0</v>
      </c>
      <c r="E44" s="576">
        <f t="shared" si="2"/>
        <v>0</v>
      </c>
      <c r="F44" s="577">
        <v>0</v>
      </c>
      <c r="G44" s="577">
        <v>0</v>
      </c>
      <c r="H44" s="576">
        <f t="shared" si="3"/>
        <v>0</v>
      </c>
      <c r="J44" s="617"/>
      <c r="K44" s="617"/>
      <c r="L44" s="617"/>
      <c r="M44" s="617"/>
      <c r="N44" s="617"/>
      <c r="O44" s="617"/>
    </row>
    <row r="45" spans="1:15">
      <c r="A45" s="352">
        <v>17.399999999999999</v>
      </c>
      <c r="B45" s="354" t="s">
        <v>596</v>
      </c>
      <c r="C45" s="577">
        <v>1693738.3199738171</v>
      </c>
      <c r="D45" s="577">
        <v>338724.73566419201</v>
      </c>
      <c r="E45" s="576">
        <f t="shared" si="2"/>
        <v>2032463.0556380092</v>
      </c>
      <c r="F45" s="577">
        <v>3052579.9509702702</v>
      </c>
      <c r="G45" s="577">
        <v>191822.46279999995</v>
      </c>
      <c r="H45" s="576">
        <f t="shared" si="3"/>
        <v>3244402.4137702701</v>
      </c>
      <c r="J45" s="617"/>
      <c r="K45" s="617"/>
      <c r="L45" s="617"/>
      <c r="M45" s="617"/>
      <c r="N45" s="617"/>
      <c r="O45" s="617"/>
    </row>
    <row r="46" spans="1:15">
      <c r="A46" s="352">
        <v>18</v>
      </c>
      <c r="B46" s="343" t="s">
        <v>597</v>
      </c>
      <c r="C46" s="577">
        <v>169327.47787702823</v>
      </c>
      <c r="D46" s="577">
        <v>100675.99060275398</v>
      </c>
      <c r="E46" s="576">
        <f t="shared" si="2"/>
        <v>270003.46847978223</v>
      </c>
      <c r="F46" s="577">
        <v>1453687.8788331926</v>
      </c>
      <c r="G46" s="577">
        <v>161447.76189829997</v>
      </c>
      <c r="H46" s="576">
        <f t="shared" si="3"/>
        <v>1615135.6407314925</v>
      </c>
      <c r="J46" s="617"/>
      <c r="K46" s="617"/>
      <c r="L46" s="617"/>
      <c r="M46" s="617"/>
      <c r="N46" s="617"/>
      <c r="O46" s="617"/>
    </row>
    <row r="47" spans="1:15">
      <c r="A47" s="352">
        <v>19</v>
      </c>
      <c r="B47" s="343" t="s">
        <v>598</v>
      </c>
      <c r="C47" s="577">
        <f>SUM(C48:C49)</f>
        <v>9446056.2293110881</v>
      </c>
      <c r="D47" s="577">
        <f>SUM(D48:D49)</f>
        <v>0</v>
      </c>
      <c r="E47" s="576">
        <f t="shared" si="2"/>
        <v>9446056.2293110881</v>
      </c>
      <c r="F47" s="577">
        <f>SUM(F48:F49)</f>
        <v>9081269.2584515233</v>
      </c>
      <c r="G47" s="577">
        <f>SUM(G48:G49)</f>
        <v>0</v>
      </c>
      <c r="H47" s="576">
        <f t="shared" si="3"/>
        <v>9081269.2584515233</v>
      </c>
      <c r="J47" s="617"/>
      <c r="K47" s="617"/>
      <c r="L47" s="617"/>
      <c r="M47" s="617"/>
      <c r="N47" s="617"/>
      <c r="O47" s="617"/>
    </row>
    <row r="48" spans="1:15">
      <c r="A48" s="352">
        <v>19.100000000000001</v>
      </c>
      <c r="B48" s="356" t="s">
        <v>599</v>
      </c>
      <c r="C48" s="577">
        <v>8839511.3066509664</v>
      </c>
      <c r="D48" s="577">
        <v>0</v>
      </c>
      <c r="E48" s="576">
        <f t="shared" si="2"/>
        <v>8839511.3066509664</v>
      </c>
      <c r="F48" s="577">
        <v>779674.15000000037</v>
      </c>
      <c r="G48" s="577">
        <v>0</v>
      </c>
      <c r="H48" s="576">
        <f t="shared" si="3"/>
        <v>779674.15000000037</v>
      </c>
      <c r="J48" s="617"/>
      <c r="K48" s="617"/>
      <c r="L48" s="617"/>
      <c r="M48" s="617"/>
      <c r="N48" s="617"/>
      <c r="O48" s="617"/>
    </row>
    <row r="49" spans="1:15">
      <c r="A49" s="352">
        <v>19.2</v>
      </c>
      <c r="B49" s="357" t="s">
        <v>600</v>
      </c>
      <c r="C49" s="577">
        <v>606544.92266012123</v>
      </c>
      <c r="D49" s="577">
        <v>0</v>
      </c>
      <c r="E49" s="576">
        <f t="shared" si="2"/>
        <v>606544.92266012123</v>
      </c>
      <c r="F49" s="577">
        <v>8301595.1084515229</v>
      </c>
      <c r="G49" s="577">
        <v>0</v>
      </c>
      <c r="H49" s="576">
        <f t="shared" si="3"/>
        <v>8301595.1084515229</v>
      </c>
      <c r="J49" s="617"/>
      <c r="K49" s="617"/>
      <c r="L49" s="617"/>
      <c r="M49" s="617"/>
      <c r="N49" s="617"/>
      <c r="O49" s="617"/>
    </row>
    <row r="50" spans="1:15">
      <c r="A50" s="352">
        <v>20</v>
      </c>
      <c r="B50" s="358" t="s">
        <v>601</v>
      </c>
      <c r="C50" s="577">
        <v>0</v>
      </c>
      <c r="D50" s="577">
        <v>78258757.831299767</v>
      </c>
      <c r="E50" s="576">
        <f t="shared" si="2"/>
        <v>78258757.831299767</v>
      </c>
      <c r="F50" s="577">
        <v>0</v>
      </c>
      <c r="G50" s="577">
        <v>90397199.08999978</v>
      </c>
      <c r="H50" s="576">
        <f t="shared" si="3"/>
        <v>90397199.08999978</v>
      </c>
      <c r="J50" s="617"/>
      <c r="K50" s="617"/>
      <c r="L50" s="617"/>
      <c r="M50" s="617"/>
      <c r="N50" s="617"/>
      <c r="O50" s="617"/>
    </row>
    <row r="51" spans="1:15">
      <c r="A51" s="352">
        <v>21</v>
      </c>
      <c r="B51" s="347" t="s">
        <v>602</v>
      </c>
      <c r="C51" s="577">
        <v>980292.72959999996</v>
      </c>
      <c r="D51" s="577">
        <v>65326.392299999978</v>
      </c>
      <c r="E51" s="576">
        <f t="shared" si="2"/>
        <v>1045619.1218999999</v>
      </c>
      <c r="F51" s="577">
        <v>592634.85000000021</v>
      </c>
      <c r="G51" s="577">
        <v>26947.564700000104</v>
      </c>
      <c r="H51" s="576">
        <f t="shared" si="3"/>
        <v>619582.41470000031</v>
      </c>
      <c r="J51" s="617"/>
      <c r="K51" s="617"/>
      <c r="L51" s="617"/>
      <c r="M51" s="617"/>
      <c r="N51" s="617"/>
      <c r="O51" s="617"/>
    </row>
    <row r="52" spans="1:15">
      <c r="A52" s="352">
        <v>21.1</v>
      </c>
      <c r="B52" s="355" t="s">
        <v>603</v>
      </c>
      <c r="C52" s="577">
        <v>0</v>
      </c>
      <c r="D52" s="577">
        <v>0</v>
      </c>
      <c r="E52" s="576">
        <f t="shared" si="2"/>
        <v>0</v>
      </c>
      <c r="F52" s="577">
        <v>0</v>
      </c>
      <c r="G52" s="577">
        <v>0</v>
      </c>
      <c r="H52" s="576">
        <f t="shared" si="3"/>
        <v>0</v>
      </c>
      <c r="J52" s="617"/>
      <c r="K52" s="617"/>
      <c r="L52" s="617"/>
      <c r="M52" s="617"/>
      <c r="N52" s="617"/>
      <c r="O52" s="617"/>
    </row>
    <row r="53" spans="1:15">
      <c r="A53" s="352">
        <v>22</v>
      </c>
      <c r="B53" s="359" t="s">
        <v>604</v>
      </c>
      <c r="C53" s="577">
        <f>SUM(C38,C40,C41,C46,C47,C50,C51)</f>
        <v>197966589.02676195</v>
      </c>
      <c r="D53" s="577">
        <f>SUM(D38,D40,D41,D46,D47,D50,D51)</f>
        <v>1022346907.9296668</v>
      </c>
      <c r="E53" s="576">
        <f t="shared" si="2"/>
        <v>1220313496.9564288</v>
      </c>
      <c r="F53" s="577">
        <f>SUM(F38,F40,F41,F46,F47,F50,F51)</f>
        <v>193636188.52825502</v>
      </c>
      <c r="G53" s="577">
        <f>SUM(G38,G40,G41,G46,G47,G50,G51)</f>
        <v>1020739564.4473981</v>
      </c>
      <c r="H53" s="576">
        <f t="shared" si="3"/>
        <v>1214375752.9756532</v>
      </c>
      <c r="J53" s="617"/>
      <c r="K53" s="617"/>
      <c r="L53" s="617"/>
      <c r="M53" s="617"/>
      <c r="N53" s="617"/>
      <c r="O53" s="617"/>
    </row>
    <row r="54" spans="1:15" ht="24" customHeight="1">
      <c r="A54" s="352"/>
      <c r="B54" s="360" t="s">
        <v>605</v>
      </c>
      <c r="C54" s="688"/>
      <c r="D54" s="689"/>
      <c r="E54" s="689"/>
      <c r="F54" s="689"/>
      <c r="G54" s="689"/>
      <c r="H54" s="690"/>
      <c r="J54" s="617"/>
      <c r="K54" s="617"/>
      <c r="L54" s="617"/>
      <c r="M54" s="617"/>
      <c r="N54" s="617"/>
      <c r="O54" s="617"/>
    </row>
    <row r="55" spans="1:15">
      <c r="A55" s="352">
        <v>23</v>
      </c>
      <c r="B55" s="358" t="s">
        <v>606</v>
      </c>
      <c r="C55" s="577">
        <v>114430000</v>
      </c>
      <c r="D55" s="577">
        <v>0</v>
      </c>
      <c r="E55" s="576">
        <f>C55+D55</f>
        <v>114430000</v>
      </c>
      <c r="F55" s="577">
        <v>114430000</v>
      </c>
      <c r="G55" s="577">
        <v>0</v>
      </c>
      <c r="H55" s="576">
        <f>F55+G55</f>
        <v>114430000</v>
      </c>
      <c r="J55" s="617"/>
      <c r="K55" s="617"/>
      <c r="L55" s="617"/>
      <c r="M55" s="617"/>
      <c r="N55" s="617"/>
      <c r="O55" s="617"/>
    </row>
    <row r="56" spans="1:15">
      <c r="A56" s="352">
        <v>24</v>
      </c>
      <c r="B56" s="358" t="s">
        <v>607</v>
      </c>
      <c r="C56" s="577">
        <v>0</v>
      </c>
      <c r="D56" s="577">
        <v>0</v>
      </c>
      <c r="E56" s="576">
        <f t="shared" ref="E56:E69" si="4">C56+D56</f>
        <v>0</v>
      </c>
      <c r="F56" s="577">
        <v>0</v>
      </c>
      <c r="G56" s="577">
        <v>0</v>
      </c>
      <c r="H56" s="576">
        <f t="shared" ref="H56:H69" si="5">F56+G56</f>
        <v>0</v>
      </c>
      <c r="J56" s="617"/>
      <c r="K56" s="617"/>
      <c r="L56" s="617"/>
      <c r="M56" s="617"/>
      <c r="N56" s="617"/>
      <c r="O56" s="617"/>
    </row>
    <row r="57" spans="1:15">
      <c r="A57" s="352">
        <v>25</v>
      </c>
      <c r="B57" s="343" t="s">
        <v>608</v>
      </c>
      <c r="C57" s="577">
        <v>0</v>
      </c>
      <c r="D57" s="577">
        <v>0</v>
      </c>
      <c r="E57" s="576">
        <f t="shared" si="4"/>
        <v>0</v>
      </c>
      <c r="F57" s="577">
        <v>0</v>
      </c>
      <c r="G57" s="577">
        <v>0</v>
      </c>
      <c r="H57" s="576">
        <f t="shared" si="5"/>
        <v>0</v>
      </c>
      <c r="J57" s="617"/>
      <c r="K57" s="617"/>
      <c r="L57" s="617"/>
      <c r="M57" s="617"/>
      <c r="N57" s="617"/>
      <c r="O57" s="617"/>
    </row>
    <row r="58" spans="1:15">
      <c r="A58" s="352">
        <v>26</v>
      </c>
      <c r="B58" s="343" t="s">
        <v>609</v>
      </c>
      <c r="C58" s="577">
        <v>0</v>
      </c>
      <c r="D58" s="577">
        <v>0</v>
      </c>
      <c r="E58" s="576">
        <f t="shared" si="4"/>
        <v>0</v>
      </c>
      <c r="F58" s="577">
        <v>0</v>
      </c>
      <c r="G58" s="577">
        <v>0</v>
      </c>
      <c r="H58" s="576">
        <f t="shared" si="5"/>
        <v>0</v>
      </c>
      <c r="J58" s="617"/>
      <c r="K58" s="617"/>
      <c r="L58" s="617"/>
      <c r="M58" s="617"/>
      <c r="N58" s="617"/>
      <c r="O58" s="617"/>
    </row>
    <row r="59" spans="1:15">
      <c r="A59" s="352">
        <v>27</v>
      </c>
      <c r="B59" s="343" t="s">
        <v>610</v>
      </c>
      <c r="C59" s="577">
        <f>SUM(C60:C61)</f>
        <v>25763611.367281228</v>
      </c>
      <c r="D59" s="577">
        <f>SUM(D60:D61)</f>
        <v>0</v>
      </c>
      <c r="E59" s="576">
        <f t="shared" si="4"/>
        <v>25763611.367281228</v>
      </c>
      <c r="F59" s="577">
        <f>SUM(F60:F61)</f>
        <v>25763611.367281228</v>
      </c>
      <c r="G59" s="577">
        <f>SUM(G60:G61)</f>
        <v>0</v>
      </c>
      <c r="H59" s="576">
        <f t="shared" si="5"/>
        <v>25763611.367281228</v>
      </c>
      <c r="J59" s="617"/>
      <c r="K59" s="617"/>
      <c r="L59" s="617"/>
      <c r="M59" s="617"/>
      <c r="N59" s="617"/>
      <c r="O59" s="617"/>
    </row>
    <row r="60" spans="1:15">
      <c r="A60" s="352">
        <v>27.1</v>
      </c>
      <c r="B60" s="354" t="s">
        <v>611</v>
      </c>
      <c r="C60" s="577">
        <v>25763611.367281228</v>
      </c>
      <c r="D60" s="577">
        <v>0</v>
      </c>
      <c r="E60" s="576">
        <f t="shared" si="4"/>
        <v>25763611.367281228</v>
      </c>
      <c r="F60" s="577">
        <v>25763611.367281228</v>
      </c>
      <c r="G60" s="577">
        <v>0</v>
      </c>
      <c r="H60" s="576">
        <f t="shared" si="5"/>
        <v>25763611.367281228</v>
      </c>
      <c r="J60" s="617"/>
      <c r="K60" s="617"/>
      <c r="L60" s="617"/>
      <c r="M60" s="617"/>
      <c r="N60" s="617"/>
      <c r="O60" s="617"/>
    </row>
    <row r="61" spans="1:15">
      <c r="A61" s="352">
        <v>27.2</v>
      </c>
      <c r="B61" s="354" t="s">
        <v>612</v>
      </c>
      <c r="C61" s="577">
        <v>0</v>
      </c>
      <c r="D61" s="577">
        <v>0</v>
      </c>
      <c r="E61" s="576">
        <f t="shared" si="4"/>
        <v>0</v>
      </c>
      <c r="F61" s="577">
        <v>0</v>
      </c>
      <c r="G61" s="577">
        <v>0</v>
      </c>
      <c r="H61" s="576">
        <f t="shared" si="5"/>
        <v>0</v>
      </c>
      <c r="J61" s="617"/>
      <c r="K61" s="617"/>
      <c r="L61" s="617"/>
      <c r="M61" s="617"/>
      <c r="N61" s="617"/>
      <c r="O61" s="617"/>
    </row>
    <row r="62" spans="1:15">
      <c r="A62" s="352">
        <v>28</v>
      </c>
      <c r="B62" s="361" t="s">
        <v>613</v>
      </c>
      <c r="C62" s="577">
        <v>0</v>
      </c>
      <c r="D62" s="577">
        <v>0</v>
      </c>
      <c r="E62" s="576">
        <f t="shared" si="4"/>
        <v>0</v>
      </c>
      <c r="F62" s="577">
        <v>0</v>
      </c>
      <c r="G62" s="577">
        <v>0</v>
      </c>
      <c r="H62" s="576">
        <f t="shared" si="5"/>
        <v>0</v>
      </c>
      <c r="J62" s="617"/>
      <c r="K62" s="617"/>
      <c r="L62" s="617"/>
      <c r="M62" s="617"/>
      <c r="N62" s="617"/>
      <c r="O62" s="617"/>
    </row>
    <row r="63" spans="1:15">
      <c r="A63" s="352">
        <v>29</v>
      </c>
      <c r="B63" s="343" t="s">
        <v>614</v>
      </c>
      <c r="C63" s="577">
        <f>SUM(C64:C66)</f>
        <v>12880</v>
      </c>
      <c r="D63" s="577">
        <f>SUM(D64:D66)</f>
        <v>0</v>
      </c>
      <c r="E63" s="576">
        <f t="shared" si="4"/>
        <v>12880</v>
      </c>
      <c r="F63" s="577">
        <f>SUM(F64:F66)</f>
        <v>-178780</v>
      </c>
      <c r="G63" s="577">
        <f>SUM(G64:G66)</f>
        <v>0</v>
      </c>
      <c r="H63" s="576">
        <f t="shared" si="5"/>
        <v>-178780</v>
      </c>
      <c r="J63" s="617"/>
      <c r="K63" s="617"/>
      <c r="L63" s="617"/>
      <c r="M63" s="617"/>
      <c r="N63" s="617"/>
      <c r="O63" s="617"/>
    </row>
    <row r="64" spans="1:15">
      <c r="A64" s="352">
        <v>29.1</v>
      </c>
      <c r="B64" s="346" t="s">
        <v>615</v>
      </c>
      <c r="C64" s="577">
        <v>0</v>
      </c>
      <c r="D64" s="577">
        <v>0</v>
      </c>
      <c r="E64" s="576">
        <f t="shared" si="4"/>
        <v>0</v>
      </c>
      <c r="F64" s="577">
        <v>0</v>
      </c>
      <c r="G64" s="577">
        <v>0</v>
      </c>
      <c r="H64" s="576">
        <f t="shared" si="5"/>
        <v>0</v>
      </c>
      <c r="J64" s="617"/>
      <c r="K64" s="617"/>
      <c r="L64" s="617"/>
      <c r="M64" s="617"/>
      <c r="N64" s="617"/>
      <c r="O64" s="617"/>
    </row>
    <row r="65" spans="1:15" ht="24.95" customHeight="1">
      <c r="A65" s="352">
        <v>29.2</v>
      </c>
      <c r="B65" s="356" t="s">
        <v>616</v>
      </c>
      <c r="C65" s="577">
        <v>0</v>
      </c>
      <c r="D65" s="577">
        <v>0</v>
      </c>
      <c r="E65" s="576">
        <f t="shared" si="4"/>
        <v>0</v>
      </c>
      <c r="F65" s="577">
        <v>0</v>
      </c>
      <c r="G65" s="577">
        <v>0</v>
      </c>
      <c r="H65" s="576">
        <f t="shared" si="5"/>
        <v>0</v>
      </c>
      <c r="J65" s="617"/>
      <c r="K65" s="617"/>
      <c r="L65" s="617"/>
      <c r="M65" s="617"/>
      <c r="N65" s="617"/>
      <c r="O65" s="617"/>
    </row>
    <row r="66" spans="1:15" ht="22.5" customHeight="1">
      <c r="A66" s="352">
        <v>29.3</v>
      </c>
      <c r="B66" s="356" t="s">
        <v>617</v>
      </c>
      <c r="C66" s="577">
        <v>12880</v>
      </c>
      <c r="D66" s="577">
        <v>0</v>
      </c>
      <c r="E66" s="576">
        <f t="shared" si="4"/>
        <v>12880</v>
      </c>
      <c r="F66" s="577">
        <v>-178780</v>
      </c>
      <c r="G66" s="577">
        <v>0</v>
      </c>
      <c r="H66" s="576">
        <f t="shared" si="5"/>
        <v>-178780</v>
      </c>
      <c r="J66" s="617"/>
      <c r="K66" s="617"/>
      <c r="L66" s="617"/>
      <c r="M66" s="617"/>
      <c r="N66" s="617"/>
      <c r="O66" s="617"/>
    </row>
    <row r="67" spans="1:15">
      <c r="A67" s="352">
        <v>30</v>
      </c>
      <c r="B67" s="343" t="s">
        <v>618</v>
      </c>
      <c r="C67" s="577">
        <v>254398949.31040269</v>
      </c>
      <c r="D67" s="577">
        <v>0</v>
      </c>
      <c r="E67" s="576">
        <f t="shared" si="4"/>
        <v>254398949.31040269</v>
      </c>
      <c r="F67" s="577">
        <v>230942840.67757329</v>
      </c>
      <c r="G67" s="577">
        <v>0</v>
      </c>
      <c r="H67" s="576">
        <f t="shared" si="5"/>
        <v>230942840.67757329</v>
      </c>
      <c r="J67" s="617"/>
      <c r="K67" s="617"/>
      <c r="L67" s="617"/>
      <c r="M67" s="617"/>
      <c r="N67" s="617"/>
      <c r="O67" s="617"/>
    </row>
    <row r="68" spans="1:15">
      <c r="A68" s="352">
        <v>31</v>
      </c>
      <c r="B68" s="362" t="s">
        <v>619</v>
      </c>
      <c r="C68" s="577">
        <f>SUM(C55,C56,C57,C58,C59,C62,C63,C67)</f>
        <v>394605440.67768395</v>
      </c>
      <c r="D68" s="577">
        <f>SUM(D55,D56,D57,D58,D59,D62,D63,D67)</f>
        <v>0</v>
      </c>
      <c r="E68" s="576">
        <f t="shared" si="4"/>
        <v>394605440.67768395</v>
      </c>
      <c r="F68" s="577">
        <f>SUM(F55,F56,F57,F58,F59,F62,F63,F67)</f>
        <v>370957672.04485452</v>
      </c>
      <c r="G68" s="577">
        <f>SUM(G55,G56,G57,G58,G59,G62,G63,G67)</f>
        <v>0</v>
      </c>
      <c r="H68" s="576">
        <f t="shared" si="5"/>
        <v>370957672.04485452</v>
      </c>
      <c r="J68" s="617"/>
      <c r="K68" s="617"/>
      <c r="L68" s="617"/>
      <c r="M68" s="617"/>
      <c r="N68" s="617"/>
      <c r="O68" s="617"/>
    </row>
    <row r="69" spans="1:15">
      <c r="A69" s="352">
        <v>32</v>
      </c>
      <c r="B69" s="363" t="s">
        <v>620</v>
      </c>
      <c r="C69" s="577">
        <f>SUM(C53,C68)</f>
        <v>592572029.70444584</v>
      </c>
      <c r="D69" s="577">
        <f>SUM(D53,D68)</f>
        <v>1022346907.9296668</v>
      </c>
      <c r="E69" s="576">
        <f t="shared" si="4"/>
        <v>1614918937.6341126</v>
      </c>
      <c r="F69" s="577">
        <f>SUM(F53,F68)</f>
        <v>564593860.57310951</v>
      </c>
      <c r="G69" s="577">
        <f>SUM(G53,G68)</f>
        <v>1020739564.4473981</v>
      </c>
      <c r="H69" s="576">
        <f t="shared" si="5"/>
        <v>1585333425.0205076</v>
      </c>
      <c r="J69" s="617"/>
      <c r="K69" s="617"/>
      <c r="L69" s="617"/>
      <c r="M69" s="617"/>
      <c r="N69" s="617"/>
      <c r="O69" s="617"/>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45"/>
  <sheetViews>
    <sheetView zoomScaleNormal="100" workbookViewId="0"/>
  </sheetViews>
  <sheetFormatPr defaultRowHeight="15"/>
  <cols>
    <col min="2" max="2" width="66.5703125" customWidth="1"/>
    <col min="3" max="8" width="17.85546875" customWidth="1"/>
  </cols>
  <sheetData>
    <row r="1" spans="1:15" s="5" customFormat="1" ht="14.25">
      <c r="A1" s="2" t="s">
        <v>30</v>
      </c>
      <c r="B1" s="3" t="str">
        <f>'Info '!C2</f>
        <v>JSC Cartu Bank</v>
      </c>
      <c r="C1" s="3"/>
      <c r="D1" s="4"/>
      <c r="E1" s="4"/>
      <c r="F1" s="4"/>
      <c r="G1" s="4"/>
    </row>
    <row r="2" spans="1:15" s="5" customFormat="1" ht="14.25">
      <c r="A2" s="2" t="s">
        <v>31</v>
      </c>
      <c r="B2" s="663">
        <f>'1. key ratios '!B2</f>
        <v>45107</v>
      </c>
      <c r="C2" s="3"/>
      <c r="D2" s="4"/>
      <c r="E2" s="4"/>
      <c r="F2" s="4"/>
      <c r="G2" s="4"/>
    </row>
    <row r="4" spans="1:15">
      <c r="A4" s="699" t="s">
        <v>6</v>
      </c>
      <c r="B4" s="701" t="s">
        <v>621</v>
      </c>
      <c r="C4" s="703" t="s">
        <v>558</v>
      </c>
      <c r="D4" s="703"/>
      <c r="E4" s="703"/>
      <c r="F4" s="703" t="s">
        <v>559</v>
      </c>
      <c r="G4" s="703"/>
      <c r="H4" s="704"/>
    </row>
    <row r="5" spans="1:15" ht="15.6" customHeight="1">
      <c r="A5" s="700"/>
      <c r="B5" s="702"/>
      <c r="C5" s="366" t="s">
        <v>32</v>
      </c>
      <c r="D5" s="366" t="s">
        <v>33</v>
      </c>
      <c r="E5" s="366" t="s">
        <v>34</v>
      </c>
      <c r="F5" s="366" t="s">
        <v>32</v>
      </c>
      <c r="G5" s="366" t="s">
        <v>33</v>
      </c>
      <c r="H5" s="366" t="s">
        <v>34</v>
      </c>
    </row>
    <row r="6" spans="1:15">
      <c r="A6" s="367">
        <v>1</v>
      </c>
      <c r="B6" s="368" t="s">
        <v>622</v>
      </c>
      <c r="C6" s="577">
        <f>SUM(C7:C12)</f>
        <v>22225333.639054</v>
      </c>
      <c r="D6" s="577">
        <f>SUM(D7:D12)</f>
        <v>21811708.639410004</v>
      </c>
      <c r="E6" s="576">
        <f>C6+D6</f>
        <v>44037042.278464004</v>
      </c>
      <c r="F6" s="577">
        <f>SUM(F7:F12)</f>
        <v>20886413.216864001</v>
      </c>
      <c r="G6" s="577">
        <f>SUM(G7:G12)</f>
        <v>23710513.214550994</v>
      </c>
      <c r="H6" s="576">
        <f>F6+G6</f>
        <v>44596926.431414992</v>
      </c>
      <c r="J6" s="617"/>
      <c r="K6" s="617"/>
      <c r="L6" s="617"/>
      <c r="M6" s="617"/>
      <c r="N6" s="617"/>
      <c r="O6" s="617"/>
    </row>
    <row r="7" spans="1:15">
      <c r="A7" s="367">
        <v>1.1000000000000001</v>
      </c>
      <c r="B7" s="356" t="s">
        <v>565</v>
      </c>
      <c r="C7" s="577">
        <v>0</v>
      </c>
      <c r="D7" s="577">
        <v>0</v>
      </c>
      <c r="E7" s="576">
        <f t="shared" ref="E7:E45" si="0">C7+D7</f>
        <v>0</v>
      </c>
      <c r="F7" s="577">
        <v>0</v>
      </c>
      <c r="G7" s="577">
        <v>0</v>
      </c>
      <c r="H7" s="576">
        <f t="shared" ref="H7:H45" si="1">F7+G7</f>
        <v>0</v>
      </c>
      <c r="J7" s="617"/>
      <c r="K7" s="617"/>
      <c r="L7" s="617"/>
      <c r="M7" s="617"/>
      <c r="N7" s="617"/>
      <c r="O7" s="617"/>
    </row>
    <row r="8" spans="1:15">
      <c r="A8" s="367">
        <v>1.2</v>
      </c>
      <c r="B8" s="356" t="s">
        <v>567</v>
      </c>
      <c r="C8" s="577">
        <v>0</v>
      </c>
      <c r="D8" s="577">
        <v>0</v>
      </c>
      <c r="E8" s="576">
        <f t="shared" si="0"/>
        <v>0</v>
      </c>
      <c r="F8" s="577">
        <v>0</v>
      </c>
      <c r="G8" s="577">
        <v>0</v>
      </c>
      <c r="H8" s="576">
        <f t="shared" si="1"/>
        <v>0</v>
      </c>
      <c r="J8" s="617"/>
      <c r="K8" s="617"/>
      <c r="L8" s="617"/>
      <c r="M8" s="617"/>
      <c r="N8" s="617"/>
      <c r="O8" s="617"/>
    </row>
    <row r="9" spans="1:15" ht="21.6" customHeight="1">
      <c r="A9" s="367">
        <v>1.3</v>
      </c>
      <c r="B9" s="356" t="s">
        <v>623</v>
      </c>
      <c r="C9" s="577">
        <v>0</v>
      </c>
      <c r="D9" s="577">
        <v>0</v>
      </c>
      <c r="E9" s="576">
        <f t="shared" si="0"/>
        <v>0</v>
      </c>
      <c r="F9" s="577">
        <v>0</v>
      </c>
      <c r="G9" s="577">
        <v>0</v>
      </c>
      <c r="H9" s="576">
        <f t="shared" si="1"/>
        <v>0</v>
      </c>
      <c r="J9" s="617"/>
      <c r="K9" s="617"/>
      <c r="L9" s="617"/>
      <c r="M9" s="617"/>
      <c r="N9" s="617"/>
      <c r="O9" s="617"/>
    </row>
    <row r="10" spans="1:15">
      <c r="A10" s="367">
        <v>1.4</v>
      </c>
      <c r="B10" s="356" t="s">
        <v>569</v>
      </c>
      <c r="C10" s="577">
        <v>318483.2300000001</v>
      </c>
      <c r="D10" s="577">
        <v>0</v>
      </c>
      <c r="E10" s="576">
        <f t="shared" si="0"/>
        <v>318483.2300000001</v>
      </c>
      <c r="F10" s="577">
        <v>332615.33999999997</v>
      </c>
      <c r="G10" s="577">
        <v>0</v>
      </c>
      <c r="H10" s="576">
        <f t="shared" si="1"/>
        <v>332615.33999999997</v>
      </c>
      <c r="J10" s="617"/>
      <c r="K10" s="617"/>
      <c r="L10" s="617"/>
      <c r="M10" s="617"/>
      <c r="N10" s="617"/>
      <c r="O10" s="617"/>
    </row>
    <row r="11" spans="1:15">
      <c r="A11" s="367">
        <v>1.5</v>
      </c>
      <c r="B11" s="356" t="s">
        <v>573</v>
      </c>
      <c r="C11" s="577">
        <v>21906850.409054</v>
      </c>
      <c r="D11" s="577">
        <v>21811708.639410004</v>
      </c>
      <c r="E11" s="576">
        <f t="shared" si="0"/>
        <v>43718559.048464</v>
      </c>
      <c r="F11" s="577">
        <v>20553797.876864001</v>
      </c>
      <c r="G11" s="577">
        <v>23710513.214550994</v>
      </c>
      <c r="H11" s="576">
        <f t="shared" si="1"/>
        <v>44264311.091414995</v>
      </c>
      <c r="J11" s="617"/>
      <c r="K11" s="617"/>
      <c r="L11" s="617"/>
      <c r="M11" s="617"/>
      <c r="N11" s="617"/>
      <c r="O11" s="617"/>
    </row>
    <row r="12" spans="1:15">
      <c r="A12" s="367">
        <v>1.6</v>
      </c>
      <c r="B12" s="357" t="s">
        <v>455</v>
      </c>
      <c r="C12" s="577">
        <v>0</v>
      </c>
      <c r="D12" s="577">
        <v>0</v>
      </c>
      <c r="E12" s="576">
        <f t="shared" si="0"/>
        <v>0</v>
      </c>
      <c r="F12" s="577">
        <v>0</v>
      </c>
      <c r="G12" s="577">
        <v>0</v>
      </c>
      <c r="H12" s="576">
        <f t="shared" si="1"/>
        <v>0</v>
      </c>
      <c r="J12" s="617"/>
      <c r="K12" s="617"/>
      <c r="L12" s="617"/>
      <c r="M12" s="617"/>
      <c r="N12" s="617"/>
      <c r="O12" s="617"/>
    </row>
    <row r="13" spans="1:15">
      <c r="A13" s="367">
        <v>2</v>
      </c>
      <c r="B13" s="369" t="s">
        <v>624</v>
      </c>
      <c r="C13" s="577">
        <f>SUM(C14:C17)</f>
        <v>-5414055.3805059455</v>
      </c>
      <c r="D13" s="577">
        <f>SUM(D14:D17)</f>
        <v>-8415569.3947471287</v>
      </c>
      <c r="E13" s="576">
        <f t="shared" si="0"/>
        <v>-13829624.775253074</v>
      </c>
      <c r="F13" s="577">
        <f>SUM(F14:F17)</f>
        <v>-5361755.5696598459</v>
      </c>
      <c r="G13" s="577">
        <f>SUM(G14:G17)</f>
        <v>-9879695.8915999997</v>
      </c>
      <c r="H13" s="576">
        <f t="shared" si="1"/>
        <v>-15241451.461259846</v>
      </c>
      <c r="J13" s="617"/>
      <c r="K13" s="617"/>
      <c r="L13" s="617"/>
      <c r="M13" s="617"/>
      <c r="N13" s="617"/>
      <c r="O13" s="617"/>
    </row>
    <row r="14" spans="1:15">
      <c r="A14" s="367">
        <v>2.1</v>
      </c>
      <c r="B14" s="356" t="s">
        <v>625</v>
      </c>
      <c r="C14" s="577">
        <v>0</v>
      </c>
      <c r="D14" s="577">
        <v>0</v>
      </c>
      <c r="E14" s="576">
        <f t="shared" si="0"/>
        <v>0</v>
      </c>
      <c r="F14" s="577">
        <v>0</v>
      </c>
      <c r="G14" s="577">
        <v>0</v>
      </c>
      <c r="H14" s="576">
        <f t="shared" si="1"/>
        <v>0</v>
      </c>
      <c r="J14" s="617"/>
      <c r="K14" s="617"/>
      <c r="L14" s="617"/>
      <c r="M14" s="617"/>
      <c r="N14" s="617"/>
      <c r="O14" s="617"/>
    </row>
    <row r="15" spans="1:15" ht="24.6" customHeight="1">
      <c r="A15" s="367">
        <v>2.2000000000000002</v>
      </c>
      <c r="B15" s="356" t="s">
        <v>626</v>
      </c>
      <c r="C15" s="577">
        <v>0</v>
      </c>
      <c r="D15" s="577">
        <v>0</v>
      </c>
      <c r="E15" s="576">
        <f t="shared" si="0"/>
        <v>0</v>
      </c>
      <c r="F15" s="577">
        <v>0</v>
      </c>
      <c r="G15" s="577">
        <v>0</v>
      </c>
      <c r="H15" s="576">
        <f t="shared" si="1"/>
        <v>0</v>
      </c>
      <c r="J15" s="617"/>
      <c r="K15" s="617"/>
      <c r="L15" s="617"/>
      <c r="M15" s="617"/>
      <c r="N15" s="617"/>
      <c r="O15" s="617"/>
    </row>
    <row r="16" spans="1:15" ht="20.45" customHeight="1">
      <c r="A16" s="367">
        <v>2.2999999999999998</v>
      </c>
      <c r="B16" s="356" t="s">
        <v>627</v>
      </c>
      <c r="C16" s="577">
        <v>-5414055.3805059455</v>
      </c>
      <c r="D16" s="577">
        <v>-8415569.3947471287</v>
      </c>
      <c r="E16" s="576">
        <f t="shared" si="0"/>
        <v>-13829624.775253074</v>
      </c>
      <c r="F16" s="577">
        <v>-5361755.5696598459</v>
      </c>
      <c r="G16" s="577">
        <v>-9879695.8915999997</v>
      </c>
      <c r="H16" s="576">
        <f t="shared" si="1"/>
        <v>-15241451.461259846</v>
      </c>
      <c r="J16" s="617"/>
      <c r="K16" s="617"/>
      <c r="L16" s="617"/>
      <c r="M16" s="617"/>
      <c r="N16" s="617"/>
      <c r="O16" s="617"/>
    </row>
    <row r="17" spans="1:15">
      <c r="A17" s="367">
        <v>2.4</v>
      </c>
      <c r="B17" s="356" t="s">
        <v>628</v>
      </c>
      <c r="C17" s="577">
        <v>0</v>
      </c>
      <c r="D17" s="577">
        <v>0</v>
      </c>
      <c r="E17" s="576">
        <f t="shared" si="0"/>
        <v>0</v>
      </c>
      <c r="F17" s="577">
        <v>0</v>
      </c>
      <c r="G17" s="577">
        <v>0</v>
      </c>
      <c r="H17" s="576">
        <f t="shared" si="1"/>
        <v>0</v>
      </c>
      <c r="J17" s="617"/>
      <c r="K17" s="617"/>
      <c r="L17" s="617"/>
      <c r="M17" s="617"/>
      <c r="N17" s="617"/>
      <c r="O17" s="617"/>
    </row>
    <row r="18" spans="1:15">
      <c r="A18" s="367">
        <v>3</v>
      </c>
      <c r="B18" s="369" t="s">
        <v>629</v>
      </c>
      <c r="C18" s="577">
        <v>0</v>
      </c>
      <c r="D18" s="577">
        <v>0</v>
      </c>
      <c r="E18" s="576">
        <f t="shared" si="0"/>
        <v>0</v>
      </c>
      <c r="F18" s="577">
        <v>0</v>
      </c>
      <c r="G18" s="577">
        <v>0</v>
      </c>
      <c r="H18" s="576">
        <f t="shared" si="1"/>
        <v>0</v>
      </c>
      <c r="J18" s="617"/>
      <c r="K18" s="617"/>
      <c r="L18" s="617"/>
      <c r="M18" s="617"/>
      <c r="N18" s="617"/>
      <c r="O18" s="617"/>
    </row>
    <row r="19" spans="1:15">
      <c r="A19" s="367">
        <v>4</v>
      </c>
      <c r="B19" s="369" t="s">
        <v>630</v>
      </c>
      <c r="C19" s="577">
        <v>2038270.5899999999</v>
      </c>
      <c r="D19" s="577">
        <v>1708788.4225639999</v>
      </c>
      <c r="E19" s="576">
        <f t="shared" si="0"/>
        <v>3747059.0125639997</v>
      </c>
      <c r="F19" s="577">
        <v>1740036.9532559998</v>
      </c>
      <c r="G19" s="577">
        <v>5595638.4763870006</v>
      </c>
      <c r="H19" s="576">
        <f t="shared" si="1"/>
        <v>7335675.4296430005</v>
      </c>
      <c r="J19" s="617"/>
      <c r="K19" s="617"/>
      <c r="L19" s="617"/>
      <c r="M19" s="617"/>
      <c r="N19" s="617"/>
      <c r="O19" s="617"/>
    </row>
    <row r="20" spans="1:15">
      <c r="A20" s="367">
        <v>5</v>
      </c>
      <c r="B20" s="369" t="s">
        <v>631</v>
      </c>
      <c r="C20" s="577">
        <v>-496136.53</v>
      </c>
      <c r="D20" s="577">
        <v>-2457622.3470999999</v>
      </c>
      <c r="E20" s="576">
        <f t="shared" si="0"/>
        <v>-2953758.8771000002</v>
      </c>
      <c r="F20" s="577">
        <v>-632218.80000000005</v>
      </c>
      <c r="G20" s="577">
        <v>-5988775.5949999997</v>
      </c>
      <c r="H20" s="576">
        <f t="shared" si="1"/>
        <v>-6620994.3949999996</v>
      </c>
      <c r="J20" s="617"/>
      <c r="K20" s="617"/>
      <c r="L20" s="617"/>
      <c r="M20" s="617"/>
      <c r="N20" s="617"/>
      <c r="O20" s="617"/>
    </row>
    <row r="21" spans="1:15" ht="24" customHeight="1">
      <c r="A21" s="367">
        <v>6</v>
      </c>
      <c r="B21" s="369" t="s">
        <v>632</v>
      </c>
      <c r="C21" s="577">
        <v>0</v>
      </c>
      <c r="D21" s="577">
        <v>0</v>
      </c>
      <c r="E21" s="576">
        <f t="shared" si="0"/>
        <v>0</v>
      </c>
      <c r="F21" s="577">
        <v>0</v>
      </c>
      <c r="G21" s="577">
        <v>0</v>
      </c>
      <c r="H21" s="576">
        <f t="shared" si="1"/>
        <v>0</v>
      </c>
      <c r="J21" s="617"/>
      <c r="K21" s="617"/>
      <c r="L21" s="617"/>
      <c r="M21" s="617"/>
      <c r="N21" s="617"/>
      <c r="O21" s="617"/>
    </row>
    <row r="22" spans="1:15" ht="18.600000000000001" customHeight="1">
      <c r="A22" s="367">
        <v>7</v>
      </c>
      <c r="B22" s="369" t="s">
        <v>633</v>
      </c>
      <c r="C22" s="577">
        <v>0</v>
      </c>
      <c r="D22" s="577">
        <v>0</v>
      </c>
      <c r="E22" s="576">
        <f t="shared" si="0"/>
        <v>0</v>
      </c>
      <c r="F22" s="577">
        <v>90471.510000000009</v>
      </c>
      <c r="G22" s="577">
        <v>1083389</v>
      </c>
      <c r="H22" s="576">
        <f t="shared" si="1"/>
        <v>1173860.51</v>
      </c>
      <c r="J22" s="617"/>
      <c r="K22" s="617"/>
      <c r="L22" s="617"/>
      <c r="M22" s="617"/>
      <c r="N22" s="617"/>
      <c r="O22" s="617"/>
    </row>
    <row r="23" spans="1:15" ht="25.5" customHeight="1">
      <c r="A23" s="367">
        <v>8</v>
      </c>
      <c r="B23" s="370" t="s">
        <v>634</v>
      </c>
      <c r="C23" s="577">
        <v>0</v>
      </c>
      <c r="D23" s="577">
        <v>0</v>
      </c>
      <c r="E23" s="576">
        <f t="shared" si="0"/>
        <v>0</v>
      </c>
      <c r="F23" s="577">
        <v>1308758.3699999992</v>
      </c>
      <c r="G23" s="577">
        <v>0</v>
      </c>
      <c r="H23" s="576">
        <f t="shared" si="1"/>
        <v>1308758.3699999992</v>
      </c>
      <c r="J23" s="617"/>
      <c r="K23" s="617"/>
      <c r="L23" s="617"/>
      <c r="M23" s="617"/>
      <c r="N23" s="617"/>
      <c r="O23" s="617"/>
    </row>
    <row r="24" spans="1:15" ht="34.5" customHeight="1">
      <c r="A24" s="367">
        <v>9</v>
      </c>
      <c r="B24" s="370" t="s">
        <v>635</v>
      </c>
      <c r="C24" s="577">
        <v>0</v>
      </c>
      <c r="D24" s="577">
        <v>0</v>
      </c>
      <c r="E24" s="576">
        <f t="shared" si="0"/>
        <v>0</v>
      </c>
      <c r="F24" s="577">
        <v>0</v>
      </c>
      <c r="G24" s="577">
        <v>0</v>
      </c>
      <c r="H24" s="576">
        <f t="shared" si="1"/>
        <v>0</v>
      </c>
      <c r="J24" s="617"/>
      <c r="K24" s="617"/>
      <c r="L24" s="617"/>
      <c r="M24" s="617"/>
      <c r="N24" s="617"/>
      <c r="O24" s="617"/>
    </row>
    <row r="25" spans="1:15">
      <c r="A25" s="367">
        <v>10</v>
      </c>
      <c r="B25" s="369" t="s">
        <v>636</v>
      </c>
      <c r="C25" s="577">
        <v>1009396.8477300024</v>
      </c>
      <c r="D25" s="577">
        <v>0</v>
      </c>
      <c r="E25" s="576">
        <f t="shared" si="0"/>
        <v>1009396.8477300024</v>
      </c>
      <c r="F25" s="577">
        <v>-4184333.77357498</v>
      </c>
      <c r="G25" s="577">
        <v>0</v>
      </c>
      <c r="H25" s="576">
        <f t="shared" si="1"/>
        <v>-4184333.77357498</v>
      </c>
      <c r="J25" s="617"/>
      <c r="K25" s="617"/>
      <c r="L25" s="617"/>
      <c r="M25" s="617"/>
      <c r="N25" s="617"/>
      <c r="O25" s="617"/>
    </row>
    <row r="26" spans="1:15">
      <c r="A26" s="367">
        <v>11</v>
      </c>
      <c r="B26" s="371" t="s">
        <v>637</v>
      </c>
      <c r="C26" s="577">
        <v>598660.36</v>
      </c>
      <c r="D26" s="577">
        <v>0</v>
      </c>
      <c r="E26" s="576">
        <f t="shared" si="0"/>
        <v>598660.36</v>
      </c>
      <c r="F26" s="577">
        <v>115255.61</v>
      </c>
      <c r="G26" s="577">
        <v>0</v>
      </c>
      <c r="H26" s="576">
        <f t="shared" si="1"/>
        <v>115255.61</v>
      </c>
      <c r="J26" s="617"/>
      <c r="K26" s="617"/>
      <c r="L26" s="617"/>
      <c r="M26" s="617"/>
      <c r="N26" s="617"/>
      <c r="O26" s="617"/>
    </row>
    <row r="27" spans="1:15">
      <c r="A27" s="367">
        <v>12</v>
      </c>
      <c r="B27" s="369" t="s">
        <v>638</v>
      </c>
      <c r="C27" s="577">
        <v>6101889.9900000002</v>
      </c>
      <c r="D27" s="577">
        <v>55.256999999999998</v>
      </c>
      <c r="E27" s="576">
        <f t="shared" si="0"/>
        <v>6101945.2470000004</v>
      </c>
      <c r="F27" s="577">
        <v>45439.469999999994</v>
      </c>
      <c r="G27" s="577">
        <v>206.94569999999999</v>
      </c>
      <c r="H27" s="576">
        <f t="shared" si="1"/>
        <v>45646.41569999999</v>
      </c>
      <c r="J27" s="617"/>
      <c r="K27" s="617"/>
      <c r="L27" s="617"/>
      <c r="M27" s="617"/>
      <c r="N27" s="617"/>
      <c r="O27" s="617"/>
    </row>
    <row r="28" spans="1:15">
      <c r="A28" s="367">
        <v>13</v>
      </c>
      <c r="B28" s="372" t="s">
        <v>639</v>
      </c>
      <c r="C28" s="577">
        <v>-3380850.0894101188</v>
      </c>
      <c r="D28" s="577">
        <v>0</v>
      </c>
      <c r="E28" s="576">
        <f t="shared" si="0"/>
        <v>-3380850.0894101188</v>
      </c>
      <c r="F28" s="577">
        <v>-3365228.4278306821</v>
      </c>
      <c r="G28" s="577">
        <v>0</v>
      </c>
      <c r="H28" s="576">
        <f t="shared" si="1"/>
        <v>-3365228.4278306821</v>
      </c>
      <c r="J28" s="617"/>
      <c r="K28" s="617"/>
      <c r="L28" s="617"/>
      <c r="M28" s="617"/>
      <c r="N28" s="617"/>
      <c r="O28" s="617"/>
    </row>
    <row r="29" spans="1:15">
      <c r="A29" s="367">
        <v>14</v>
      </c>
      <c r="B29" s="373" t="s">
        <v>640</v>
      </c>
      <c r="C29" s="577">
        <f>SUM(C30:C31)</f>
        <v>-9394805.7600000035</v>
      </c>
      <c r="D29" s="577">
        <f>SUM(D30:D31)</f>
        <v>-1448240.9834999999</v>
      </c>
      <c r="E29" s="576">
        <f t="shared" si="0"/>
        <v>-10843046.743500004</v>
      </c>
      <c r="F29" s="577">
        <f>SUM(F30:F31)</f>
        <v>-8094584.8899999987</v>
      </c>
      <c r="G29" s="577">
        <f>SUM(G30:G31)</f>
        <v>-1359374.0943999998</v>
      </c>
      <c r="H29" s="576">
        <f t="shared" si="1"/>
        <v>-9453958.9843999986</v>
      </c>
      <c r="J29" s="617"/>
      <c r="K29" s="617"/>
      <c r="L29" s="617"/>
      <c r="M29" s="617"/>
      <c r="N29" s="617"/>
      <c r="O29" s="617"/>
    </row>
    <row r="30" spans="1:15">
      <c r="A30" s="367">
        <v>14.1</v>
      </c>
      <c r="B30" s="345" t="s">
        <v>641</v>
      </c>
      <c r="C30" s="577">
        <v>-8970709.1900000013</v>
      </c>
      <c r="D30" s="577">
        <v>-42824.272799999999</v>
      </c>
      <c r="E30" s="576">
        <f t="shared" si="0"/>
        <v>-9013533.4628000017</v>
      </c>
      <c r="F30" s="577">
        <v>-7759461.5999999987</v>
      </c>
      <c r="G30" s="577">
        <v>-1103.8073999999999</v>
      </c>
      <c r="H30" s="576">
        <f t="shared" si="1"/>
        <v>-7760565.407399999</v>
      </c>
      <c r="J30" s="617"/>
      <c r="K30" s="617"/>
      <c r="L30" s="617"/>
      <c r="M30" s="617"/>
      <c r="N30" s="617"/>
      <c r="O30" s="617"/>
    </row>
    <row r="31" spans="1:15">
      <c r="A31" s="367">
        <v>14.2</v>
      </c>
      <c r="B31" s="345" t="s">
        <v>642</v>
      </c>
      <c r="C31" s="577">
        <v>-424096.5700000017</v>
      </c>
      <c r="D31" s="577">
        <v>-1405416.7106999999</v>
      </c>
      <c r="E31" s="576">
        <f t="shared" si="0"/>
        <v>-1829513.2807000016</v>
      </c>
      <c r="F31" s="577">
        <v>-335123.2900000005</v>
      </c>
      <c r="G31" s="577">
        <v>-1358270.2869999998</v>
      </c>
      <c r="H31" s="576">
        <f t="shared" si="1"/>
        <v>-1693393.5770000003</v>
      </c>
      <c r="J31" s="617"/>
      <c r="K31" s="617"/>
      <c r="L31" s="617"/>
      <c r="M31" s="617"/>
      <c r="N31" s="617"/>
      <c r="O31" s="617"/>
    </row>
    <row r="32" spans="1:15">
      <c r="A32" s="367">
        <v>15</v>
      </c>
      <c r="B32" s="369" t="s">
        <v>643</v>
      </c>
      <c r="C32" s="577">
        <v>-1742767.9955346901</v>
      </c>
      <c r="D32" s="577">
        <v>0</v>
      </c>
      <c r="E32" s="576">
        <f t="shared" si="0"/>
        <v>-1742767.9955346901</v>
      </c>
      <c r="F32" s="577">
        <v>-2125111.9497716324</v>
      </c>
      <c r="G32" s="577">
        <v>0</v>
      </c>
      <c r="H32" s="576">
        <f t="shared" si="1"/>
        <v>-2125111.9497716324</v>
      </c>
      <c r="J32" s="617"/>
      <c r="K32" s="617"/>
      <c r="L32" s="617"/>
      <c r="M32" s="617"/>
      <c r="N32" s="617"/>
      <c r="O32" s="617"/>
    </row>
    <row r="33" spans="1:15" ht="22.5" customHeight="1">
      <c r="A33" s="367">
        <v>16</v>
      </c>
      <c r="B33" s="343" t="s">
        <v>644</v>
      </c>
      <c r="C33" s="577">
        <v>199984.25189527834</v>
      </c>
      <c r="D33" s="577">
        <v>1033511.6236853495</v>
      </c>
      <c r="E33" s="576">
        <f t="shared" si="0"/>
        <v>1233495.8755806279</v>
      </c>
      <c r="F33" s="577">
        <v>-231362.67299475052</v>
      </c>
      <c r="G33" s="577">
        <v>367580.5453949793</v>
      </c>
      <c r="H33" s="576">
        <f t="shared" si="1"/>
        <v>136217.87240022878</v>
      </c>
      <c r="J33" s="617"/>
      <c r="K33" s="617"/>
      <c r="L33" s="617"/>
      <c r="M33" s="617"/>
      <c r="N33" s="617"/>
      <c r="O33" s="617"/>
    </row>
    <row r="34" spans="1:15">
      <c r="A34" s="367">
        <v>17</v>
      </c>
      <c r="B34" s="369" t="s">
        <v>645</v>
      </c>
      <c r="C34" s="577">
        <f>SUM(C35:C36)</f>
        <v>-23944.38786763373</v>
      </c>
      <c r="D34" s="577">
        <f>SUM(D35:D36)</f>
        <v>-93558.334996155114</v>
      </c>
      <c r="E34" s="576">
        <f t="shared" si="0"/>
        <v>-117502.72286378885</v>
      </c>
      <c r="F34" s="577">
        <f>SUM(F35:F36)</f>
        <v>957447.53670559789</v>
      </c>
      <c r="G34" s="577">
        <f>SUM(G35:G36)</f>
        <v>492755.96693124791</v>
      </c>
      <c r="H34" s="576">
        <f t="shared" si="1"/>
        <v>1450203.5036368459</v>
      </c>
      <c r="J34" s="617"/>
      <c r="K34" s="617"/>
      <c r="L34" s="617"/>
      <c r="M34" s="617"/>
      <c r="N34" s="617"/>
      <c r="O34" s="617"/>
    </row>
    <row r="35" spans="1:15">
      <c r="A35" s="367">
        <v>17.100000000000001</v>
      </c>
      <c r="B35" s="345" t="s">
        <v>646</v>
      </c>
      <c r="C35" s="577">
        <v>-26911.456074004946</v>
      </c>
      <c r="D35" s="577">
        <v>-45157.214300825035</v>
      </c>
      <c r="E35" s="576">
        <f t="shared" si="0"/>
        <v>-72068.670374829977</v>
      </c>
      <c r="F35" s="577">
        <v>892228.1011378048</v>
      </c>
      <c r="G35" s="577">
        <v>503257.61935231416</v>
      </c>
      <c r="H35" s="576">
        <f t="shared" si="1"/>
        <v>1395485.720490119</v>
      </c>
      <c r="J35" s="617"/>
      <c r="K35" s="617"/>
      <c r="L35" s="617"/>
      <c r="M35" s="617"/>
      <c r="N35" s="617"/>
      <c r="O35" s="617"/>
    </row>
    <row r="36" spans="1:15">
      <c r="A36" s="367">
        <v>17.2</v>
      </c>
      <c r="B36" s="345" t="s">
        <v>647</v>
      </c>
      <c r="C36" s="577">
        <v>2967.0682063712156</v>
      </c>
      <c r="D36" s="577">
        <v>-48401.120695330072</v>
      </c>
      <c r="E36" s="576">
        <f t="shared" si="0"/>
        <v>-45434.052488958856</v>
      </c>
      <c r="F36" s="577">
        <v>65219.435567793058</v>
      </c>
      <c r="G36" s="577">
        <v>-10501.652421066243</v>
      </c>
      <c r="H36" s="576">
        <f t="shared" si="1"/>
        <v>54717.783146726812</v>
      </c>
      <c r="J36" s="617"/>
      <c r="K36" s="617"/>
      <c r="L36" s="617"/>
      <c r="M36" s="617"/>
      <c r="N36" s="617"/>
      <c r="O36" s="617"/>
    </row>
    <row r="37" spans="1:15" ht="41.45" customHeight="1">
      <c r="A37" s="367">
        <v>18</v>
      </c>
      <c r="B37" s="374" t="s">
        <v>648</v>
      </c>
      <c r="C37" s="577">
        <f>SUM(C38:C39)</f>
        <v>-6759370.8070060695</v>
      </c>
      <c r="D37" s="577">
        <f>SUM(D38:D39)</f>
        <v>4760490.3367545297</v>
      </c>
      <c r="E37" s="576">
        <f t="shared" si="0"/>
        <v>-1998880.4702515397</v>
      </c>
      <c r="F37" s="577">
        <f>SUM(F38:F39)</f>
        <v>2242548.3143667849</v>
      </c>
      <c r="G37" s="577">
        <f>SUM(G38:G39)</f>
        <v>9288227.4812804982</v>
      </c>
      <c r="H37" s="576">
        <f t="shared" si="1"/>
        <v>11530775.795647282</v>
      </c>
      <c r="J37" s="617"/>
      <c r="K37" s="617"/>
      <c r="L37" s="617"/>
      <c r="M37" s="617"/>
      <c r="N37" s="617"/>
      <c r="O37" s="617"/>
    </row>
    <row r="38" spans="1:15">
      <c r="A38" s="367">
        <v>18.100000000000001</v>
      </c>
      <c r="B38" s="375" t="s">
        <v>649</v>
      </c>
      <c r="C38" s="577">
        <v>0</v>
      </c>
      <c r="D38" s="577">
        <v>0</v>
      </c>
      <c r="E38" s="576">
        <f t="shared" si="0"/>
        <v>0</v>
      </c>
      <c r="F38" s="577">
        <v>0</v>
      </c>
      <c r="G38" s="577">
        <v>0</v>
      </c>
      <c r="H38" s="576">
        <f t="shared" si="1"/>
        <v>0</v>
      </c>
      <c r="J38" s="617"/>
      <c r="K38" s="617"/>
      <c r="L38" s="617"/>
      <c r="M38" s="617"/>
      <c r="N38" s="617"/>
      <c r="O38" s="617"/>
    </row>
    <row r="39" spans="1:15">
      <c r="A39" s="367">
        <v>18.2</v>
      </c>
      <c r="B39" s="375" t="s">
        <v>650</v>
      </c>
      <c r="C39" s="577">
        <v>-6759370.8070060695</v>
      </c>
      <c r="D39" s="577">
        <v>4760490.3367545297</v>
      </c>
      <c r="E39" s="576">
        <f t="shared" si="0"/>
        <v>-1998880.4702515397</v>
      </c>
      <c r="F39" s="577">
        <v>2242548.3143667849</v>
      </c>
      <c r="G39" s="577">
        <v>9288227.4812804982</v>
      </c>
      <c r="H39" s="576">
        <f t="shared" si="1"/>
        <v>11530775.795647282</v>
      </c>
      <c r="J39" s="617"/>
      <c r="K39" s="617"/>
      <c r="L39" s="617"/>
      <c r="M39" s="617"/>
      <c r="N39" s="617"/>
      <c r="O39" s="617"/>
    </row>
    <row r="40" spans="1:15" ht="24.6" customHeight="1">
      <c r="A40" s="367">
        <v>19</v>
      </c>
      <c r="B40" s="374" t="s">
        <v>651</v>
      </c>
      <c r="C40" s="577">
        <v>0</v>
      </c>
      <c r="D40" s="577">
        <v>0</v>
      </c>
      <c r="E40" s="576">
        <f t="shared" si="0"/>
        <v>0</v>
      </c>
      <c r="F40" s="577">
        <v>0</v>
      </c>
      <c r="G40" s="577">
        <v>0</v>
      </c>
      <c r="H40" s="576">
        <f t="shared" si="1"/>
        <v>0</v>
      </c>
      <c r="J40" s="617"/>
      <c r="K40" s="617"/>
      <c r="L40" s="617"/>
      <c r="M40" s="617"/>
      <c r="N40" s="617"/>
      <c r="O40" s="617"/>
    </row>
    <row r="41" spans="1:15" ht="17.45" customHeight="1">
      <c r="A41" s="367">
        <v>20</v>
      </c>
      <c r="B41" s="374" t="s">
        <v>652</v>
      </c>
      <c r="C41" s="577">
        <v>2.4214386940002441E-8</v>
      </c>
      <c r="D41" s="577">
        <v>0</v>
      </c>
      <c r="E41" s="576">
        <f t="shared" si="0"/>
        <v>2.4214386940002441E-8</v>
      </c>
      <c r="F41" s="577">
        <v>-4.6566128730773926E-9</v>
      </c>
      <c r="G41" s="577">
        <v>0</v>
      </c>
      <c r="H41" s="576">
        <f t="shared" si="1"/>
        <v>-4.6566128730773926E-9</v>
      </c>
      <c r="J41" s="617"/>
      <c r="K41" s="617"/>
      <c r="L41" s="617"/>
      <c r="M41" s="617"/>
      <c r="N41" s="617"/>
      <c r="O41" s="617"/>
    </row>
    <row r="42" spans="1:15" ht="26.45" customHeight="1">
      <c r="A42" s="367">
        <v>21</v>
      </c>
      <c r="B42" s="374" t="s">
        <v>653</v>
      </c>
      <c r="C42" s="577">
        <v>0</v>
      </c>
      <c r="D42" s="577">
        <v>0</v>
      </c>
      <c r="E42" s="576">
        <f t="shared" si="0"/>
        <v>0</v>
      </c>
      <c r="F42" s="577">
        <v>0</v>
      </c>
      <c r="G42" s="577">
        <v>0</v>
      </c>
      <c r="H42" s="576">
        <f t="shared" si="1"/>
        <v>0</v>
      </c>
      <c r="J42" s="617"/>
      <c r="K42" s="617"/>
      <c r="L42" s="617"/>
      <c r="M42" s="617"/>
      <c r="N42" s="617"/>
      <c r="O42" s="617"/>
    </row>
    <row r="43" spans="1:15">
      <c r="A43" s="367">
        <v>22</v>
      </c>
      <c r="B43" s="376" t="s">
        <v>654</v>
      </c>
      <c r="C43" s="577">
        <f>SUM(C6,C13,C18,C19,C20,C21,C22,C23,C24,C25,C26,C27,C28,C29,C32,C33,C34,C37,C40,C41,C42)</f>
        <v>4961604.7283548461</v>
      </c>
      <c r="D43" s="577">
        <f>SUM(D6,D13,D18,D19,D20,D21,D22,D23,D24,D25,D26,D27,D28,D29,D32,D33,D34,D37,D40,D41,D42)</f>
        <v>16899563.219070598</v>
      </c>
      <c r="E43" s="576">
        <f t="shared" si="0"/>
        <v>21861167.947425444</v>
      </c>
      <c r="F43" s="577">
        <f>SUM(F6,F13,F18,F19,F20,F21,F22,F23,F24,F25,F26,F27,F28,F29,F32,F33,F34,F37,F40,F41,F42)</f>
        <v>3391774.8973604906</v>
      </c>
      <c r="G43" s="577">
        <f>SUM(G6,G13,G18,G19,G20,G21,G22,G23,G24,G25,G26,G27,G28,G29,G32,G33,G34,G37,G40,G41,G42)</f>
        <v>23310466.04924472</v>
      </c>
      <c r="H43" s="576">
        <f t="shared" si="1"/>
        <v>26702240.946605213</v>
      </c>
      <c r="J43" s="617"/>
      <c r="K43" s="617"/>
      <c r="L43" s="617"/>
      <c r="M43" s="617"/>
      <c r="N43" s="617"/>
      <c r="O43" s="617"/>
    </row>
    <row r="44" spans="1:15">
      <c r="A44" s="367">
        <v>23</v>
      </c>
      <c r="B44" s="376" t="s">
        <v>655</v>
      </c>
      <c r="C44" s="577">
        <v>4761034.384958175</v>
      </c>
      <c r="D44" s="577"/>
      <c r="E44" s="576">
        <f t="shared" si="0"/>
        <v>4761034.384958175</v>
      </c>
      <c r="F44" s="577">
        <v>6426397.8451582454</v>
      </c>
      <c r="G44" s="577">
        <v>0</v>
      </c>
      <c r="H44" s="576">
        <f t="shared" si="1"/>
        <v>6426397.8451582454</v>
      </c>
      <c r="J44" s="617"/>
      <c r="K44" s="617"/>
      <c r="L44" s="617"/>
      <c r="M44" s="617"/>
      <c r="N44" s="617"/>
      <c r="O44" s="617"/>
    </row>
    <row r="45" spans="1:15">
      <c r="A45" s="367">
        <v>24</v>
      </c>
      <c r="B45" s="377" t="s">
        <v>656</v>
      </c>
      <c r="C45" s="577">
        <f>C43-C44</f>
        <v>200570.34339667112</v>
      </c>
      <c r="D45" s="577">
        <f>D43-D44</f>
        <v>16899563.219070598</v>
      </c>
      <c r="E45" s="576">
        <f t="shared" si="0"/>
        <v>17100133.56246727</v>
      </c>
      <c r="F45" s="577">
        <f>F43-F44</f>
        <v>-3034622.9477977548</v>
      </c>
      <c r="G45" s="577">
        <f>G43-G44</f>
        <v>23310466.04924472</v>
      </c>
      <c r="H45" s="576">
        <f t="shared" si="1"/>
        <v>20275843.101446964</v>
      </c>
      <c r="J45" s="617"/>
      <c r="K45" s="617"/>
      <c r="L45" s="617"/>
      <c r="M45" s="617"/>
      <c r="N45" s="617"/>
      <c r="O45" s="617"/>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O47"/>
  <sheetViews>
    <sheetView zoomScale="90" zoomScaleNormal="90" workbookViewId="0"/>
  </sheetViews>
  <sheetFormatPr defaultRowHeight="15"/>
  <cols>
    <col min="1" max="1" width="8.7109375" style="364"/>
    <col min="2" max="2" width="87.5703125" bestFit="1" customWidth="1"/>
    <col min="3" max="8" width="15.42578125" customWidth="1"/>
  </cols>
  <sheetData>
    <row r="1" spans="1:15" s="5" customFormat="1" ht="14.25">
      <c r="A1" s="2" t="s">
        <v>30</v>
      </c>
      <c r="B1" s="3" t="str">
        <f>'Info '!C2</f>
        <v>JSC Cartu Bank</v>
      </c>
      <c r="C1" s="3"/>
      <c r="D1" s="4"/>
      <c r="E1" s="4"/>
      <c r="F1" s="4"/>
      <c r="G1" s="4"/>
    </row>
    <row r="2" spans="1:15" s="5" customFormat="1" ht="14.25">
      <c r="A2" s="2" t="s">
        <v>31</v>
      </c>
      <c r="B2" s="663">
        <f>'1. key ratios '!B2</f>
        <v>45107</v>
      </c>
      <c r="C2" s="3"/>
      <c r="D2" s="4"/>
      <c r="E2" s="4"/>
      <c r="F2" s="4"/>
      <c r="G2" s="4"/>
    </row>
    <row r="3" spans="1:15" ht="15.75" thickBot="1">
      <c r="A3"/>
    </row>
    <row r="4" spans="1:15">
      <c r="A4" s="705" t="s">
        <v>6</v>
      </c>
      <c r="B4" s="706" t="s">
        <v>94</v>
      </c>
      <c r="C4" s="703" t="s">
        <v>558</v>
      </c>
      <c r="D4" s="703"/>
      <c r="E4" s="703"/>
      <c r="F4" s="703" t="s">
        <v>559</v>
      </c>
      <c r="G4" s="703"/>
      <c r="H4" s="704"/>
    </row>
    <row r="5" spans="1:15">
      <c r="A5" s="705"/>
      <c r="B5" s="706"/>
      <c r="C5" s="366" t="s">
        <v>32</v>
      </c>
      <c r="D5" s="366" t="s">
        <v>33</v>
      </c>
      <c r="E5" s="366" t="s">
        <v>34</v>
      </c>
      <c r="F5" s="366" t="s">
        <v>32</v>
      </c>
      <c r="G5" s="366" t="s">
        <v>33</v>
      </c>
      <c r="H5" s="366" t="s">
        <v>34</v>
      </c>
    </row>
    <row r="6" spans="1:15" ht="15.75">
      <c r="A6" s="352">
        <v>1</v>
      </c>
      <c r="B6" s="378" t="s">
        <v>657</v>
      </c>
      <c r="C6" s="575">
        <v>0</v>
      </c>
      <c r="D6" s="575">
        <v>0</v>
      </c>
      <c r="E6" s="574">
        <f t="shared" ref="E6:E43" si="0">C6+D6</f>
        <v>0</v>
      </c>
      <c r="F6" s="575">
        <v>0</v>
      </c>
      <c r="G6" s="575">
        <v>0</v>
      </c>
      <c r="H6" s="573">
        <f t="shared" ref="H6:H43" si="1">F6+G6</f>
        <v>0</v>
      </c>
      <c r="J6" s="617"/>
      <c r="K6" s="617"/>
      <c r="L6" s="617"/>
      <c r="M6" s="617"/>
      <c r="N6" s="617"/>
      <c r="O6" s="617"/>
    </row>
    <row r="7" spans="1:15" ht="15.75">
      <c r="A7" s="352">
        <v>2</v>
      </c>
      <c r="B7" s="378" t="s">
        <v>196</v>
      </c>
      <c r="C7" s="575">
        <v>0</v>
      </c>
      <c r="D7" s="575">
        <v>0</v>
      </c>
      <c r="E7" s="574">
        <f t="shared" si="0"/>
        <v>0</v>
      </c>
      <c r="F7" s="575">
        <v>0</v>
      </c>
      <c r="G7" s="575">
        <v>0</v>
      </c>
      <c r="H7" s="573">
        <f t="shared" si="1"/>
        <v>0</v>
      </c>
      <c r="J7" s="617"/>
      <c r="K7" s="617"/>
      <c r="L7" s="617"/>
      <c r="M7" s="617"/>
      <c r="N7" s="617"/>
      <c r="O7" s="617"/>
    </row>
    <row r="8" spans="1:15" ht="15.75">
      <c r="A8" s="352">
        <v>3</v>
      </c>
      <c r="B8" s="378" t="s">
        <v>206</v>
      </c>
      <c r="C8" s="575">
        <f>C9+C10</f>
        <v>108831628.53475745</v>
      </c>
      <c r="D8" s="575">
        <f>D9+D10</f>
        <v>315387688.97566438</v>
      </c>
      <c r="E8" s="574">
        <f t="shared" si="0"/>
        <v>424219317.51042181</v>
      </c>
      <c r="F8" s="575">
        <f>F9+F10</f>
        <v>105559628.69888622</v>
      </c>
      <c r="G8" s="575">
        <f>G9+G10</f>
        <v>340181667.08996826</v>
      </c>
      <c r="H8" s="573">
        <f t="shared" si="1"/>
        <v>445741295.78885448</v>
      </c>
      <c r="J8" s="617"/>
      <c r="K8" s="617"/>
      <c r="L8" s="617"/>
      <c r="M8" s="617"/>
      <c r="N8" s="617"/>
      <c r="O8" s="617"/>
    </row>
    <row r="9" spans="1:15" ht="15.75">
      <c r="A9" s="352">
        <v>3.1</v>
      </c>
      <c r="B9" s="379" t="s">
        <v>197</v>
      </c>
      <c r="C9" s="575">
        <v>5496488.4099999992</v>
      </c>
      <c r="D9" s="575">
        <v>2242877.5577100003</v>
      </c>
      <c r="E9" s="574">
        <f t="shared" si="0"/>
        <v>7739365.9677099995</v>
      </c>
      <c r="F9" s="575">
        <v>6510619.7649999987</v>
      </c>
      <c r="G9" s="575">
        <v>3123622.6863473002</v>
      </c>
      <c r="H9" s="573">
        <f t="shared" si="1"/>
        <v>9634242.4513472989</v>
      </c>
      <c r="J9" s="617"/>
      <c r="K9" s="617"/>
      <c r="L9" s="617"/>
      <c r="M9" s="617"/>
      <c r="N9" s="617"/>
      <c r="O9" s="617"/>
    </row>
    <row r="10" spans="1:15" ht="15.75">
      <c r="A10" s="352">
        <v>3.2</v>
      </c>
      <c r="B10" s="379" t="s">
        <v>193</v>
      </c>
      <c r="C10" s="575">
        <v>103335140.12475745</v>
      </c>
      <c r="D10" s="575">
        <v>313144811.41795439</v>
      </c>
      <c r="E10" s="574">
        <f t="shared" si="0"/>
        <v>416479951.54271185</v>
      </c>
      <c r="F10" s="575">
        <v>99049008.933886215</v>
      </c>
      <c r="G10" s="575">
        <v>337058044.40362096</v>
      </c>
      <c r="H10" s="573">
        <f t="shared" si="1"/>
        <v>436107053.33750719</v>
      </c>
      <c r="J10" s="617"/>
      <c r="K10" s="617"/>
      <c r="L10" s="617"/>
      <c r="M10" s="617"/>
      <c r="N10" s="617"/>
      <c r="O10" s="617"/>
    </row>
    <row r="11" spans="1:15" ht="15.75">
      <c r="A11" s="352">
        <v>4</v>
      </c>
      <c r="B11" s="380" t="s">
        <v>195</v>
      </c>
      <c r="C11" s="575">
        <f>C12+C13</f>
        <v>0</v>
      </c>
      <c r="D11" s="575">
        <f>D12+D13</f>
        <v>0</v>
      </c>
      <c r="E11" s="574">
        <f t="shared" si="0"/>
        <v>0</v>
      </c>
      <c r="F11" s="575">
        <f>F12+F13</f>
        <v>0</v>
      </c>
      <c r="G11" s="575">
        <f>G12+G13</f>
        <v>0</v>
      </c>
      <c r="H11" s="573">
        <f t="shared" si="1"/>
        <v>0</v>
      </c>
      <c r="J11" s="617"/>
      <c r="K11" s="617"/>
      <c r="L11" s="617"/>
      <c r="M11" s="617"/>
      <c r="N11" s="617"/>
      <c r="O11" s="617"/>
    </row>
    <row r="12" spans="1:15" ht="15.75">
      <c r="A12" s="352">
        <v>4.0999999999999996</v>
      </c>
      <c r="B12" s="379" t="s">
        <v>179</v>
      </c>
      <c r="C12" s="575">
        <v>0</v>
      </c>
      <c r="D12" s="575">
        <v>0</v>
      </c>
      <c r="E12" s="574">
        <f t="shared" si="0"/>
        <v>0</v>
      </c>
      <c r="F12" s="575">
        <v>0</v>
      </c>
      <c r="G12" s="575">
        <v>0</v>
      </c>
      <c r="H12" s="573">
        <f t="shared" si="1"/>
        <v>0</v>
      </c>
      <c r="J12" s="617"/>
      <c r="K12" s="617"/>
      <c r="L12" s="617"/>
      <c r="M12" s="617"/>
      <c r="N12" s="617"/>
      <c r="O12" s="617"/>
    </row>
    <row r="13" spans="1:15" ht="15.75">
      <c r="A13" s="352">
        <v>4.2</v>
      </c>
      <c r="B13" s="379" t="s">
        <v>180</v>
      </c>
      <c r="C13" s="575">
        <v>0</v>
      </c>
      <c r="D13" s="575">
        <v>0</v>
      </c>
      <c r="E13" s="574">
        <f t="shared" si="0"/>
        <v>0</v>
      </c>
      <c r="F13" s="575">
        <v>0</v>
      </c>
      <c r="G13" s="575">
        <v>0</v>
      </c>
      <c r="H13" s="573">
        <f t="shared" si="1"/>
        <v>0</v>
      </c>
      <c r="J13" s="617"/>
      <c r="K13" s="617"/>
      <c r="L13" s="617"/>
      <c r="M13" s="617"/>
      <c r="N13" s="617"/>
      <c r="O13" s="617"/>
    </row>
    <row r="14" spans="1:15" ht="15.75">
      <c r="A14" s="352">
        <v>5</v>
      </c>
      <c r="B14" s="380" t="s">
        <v>205</v>
      </c>
      <c r="C14" s="575">
        <f>C15+C16+C17+C23+C24+C25+C26</f>
        <v>170380187.75759643</v>
      </c>
      <c r="D14" s="575">
        <f>D15+D16+D17+D23+D24+D25+D26</f>
        <v>1770290048.2038915</v>
      </c>
      <c r="E14" s="574">
        <f t="shared" si="0"/>
        <v>1940670235.961488</v>
      </c>
      <c r="F14" s="575">
        <f>F15+F16+F17+F23+F24+F25+F26</f>
        <v>278949497.1050483</v>
      </c>
      <c r="G14" s="575">
        <f>G15+G16+G17+G23+G24+G25+G26</f>
        <v>1961742481.8124201</v>
      </c>
      <c r="H14" s="573">
        <f t="shared" si="1"/>
        <v>2240691978.9174685</v>
      </c>
      <c r="I14" s="617"/>
      <c r="J14" s="617"/>
      <c r="K14" s="617"/>
      <c r="L14" s="617"/>
      <c r="M14" s="617"/>
      <c r="N14" s="617"/>
      <c r="O14" s="617"/>
    </row>
    <row r="15" spans="1:15" ht="15.75">
      <c r="A15" s="352">
        <v>5.0999999999999996</v>
      </c>
      <c r="B15" s="381" t="s">
        <v>183</v>
      </c>
      <c r="C15" s="575">
        <v>44682668.339999996</v>
      </c>
      <c r="D15" s="575">
        <v>20942410.415263001</v>
      </c>
      <c r="E15" s="574">
        <f t="shared" si="0"/>
        <v>65625078.755263001</v>
      </c>
      <c r="F15" s="575">
        <v>30620501.810000002</v>
      </c>
      <c r="G15" s="575">
        <v>16079162.265764</v>
      </c>
      <c r="H15" s="573">
        <f t="shared" si="1"/>
        <v>46699664.075764</v>
      </c>
      <c r="I15" s="617"/>
      <c r="J15" s="617"/>
      <c r="K15" s="617"/>
      <c r="L15" s="617"/>
      <c r="M15" s="617"/>
      <c r="N15" s="617"/>
      <c r="O15" s="617"/>
    </row>
    <row r="16" spans="1:15" ht="15.75">
      <c r="A16" s="352">
        <v>5.2</v>
      </c>
      <c r="B16" s="381" t="s">
        <v>182</v>
      </c>
      <c r="C16" s="575">
        <v>0</v>
      </c>
      <c r="D16" s="575">
        <v>0</v>
      </c>
      <c r="E16" s="574">
        <f t="shared" si="0"/>
        <v>0</v>
      </c>
      <c r="F16" s="575">
        <v>0</v>
      </c>
      <c r="G16" s="575">
        <v>0</v>
      </c>
      <c r="H16" s="573">
        <f t="shared" si="1"/>
        <v>0</v>
      </c>
      <c r="I16" s="617"/>
      <c r="J16" s="617"/>
      <c r="K16" s="617"/>
      <c r="L16" s="617"/>
      <c r="M16" s="617"/>
      <c r="N16" s="617"/>
      <c r="O16" s="617"/>
    </row>
    <row r="17" spans="1:15" ht="15.75">
      <c r="A17" s="352">
        <v>5.3</v>
      </c>
      <c r="B17" s="381" t="s">
        <v>181</v>
      </c>
      <c r="C17" s="575">
        <f>C18+C19+C20+C21+C22</f>
        <v>2931901.1999999997</v>
      </c>
      <c r="D17" s="575">
        <f>D18+D19+D20+D21+D22</f>
        <v>1327325098.3947563</v>
      </c>
      <c r="E17" s="574">
        <f t="shared" si="0"/>
        <v>1330256999.5947564</v>
      </c>
      <c r="F17" s="575">
        <f>F18+F19+F20+F21+F22</f>
        <v>17939073.800000001</v>
      </c>
      <c r="G17" s="575">
        <f>G18+G19+G20+G21+G22</f>
        <v>1476794982.2964044</v>
      </c>
      <c r="H17" s="573">
        <f t="shared" si="1"/>
        <v>1494734056.0964043</v>
      </c>
      <c r="I17" s="617"/>
      <c r="J17" s="617"/>
      <c r="K17" s="617"/>
      <c r="L17" s="617"/>
      <c r="M17" s="617"/>
      <c r="N17" s="617"/>
      <c r="O17" s="617"/>
    </row>
    <row r="18" spans="1:15" ht="15.75">
      <c r="A18" s="352" t="s">
        <v>15</v>
      </c>
      <c r="B18" s="382" t="s">
        <v>36</v>
      </c>
      <c r="C18" s="575">
        <v>94237.200000000012</v>
      </c>
      <c r="D18" s="575">
        <v>173900427.78423145</v>
      </c>
      <c r="E18" s="574">
        <f t="shared" si="0"/>
        <v>173994664.98423144</v>
      </c>
      <c r="F18" s="575">
        <v>292890</v>
      </c>
      <c r="G18" s="575">
        <v>171603574.45131055</v>
      </c>
      <c r="H18" s="573">
        <f t="shared" si="1"/>
        <v>171896464.45131055</v>
      </c>
      <c r="I18" s="617"/>
      <c r="J18" s="617"/>
      <c r="K18" s="617"/>
      <c r="L18" s="617"/>
      <c r="M18" s="617"/>
      <c r="N18" s="617"/>
      <c r="O18" s="617"/>
    </row>
    <row r="19" spans="1:15" ht="15.75">
      <c r="A19" s="352" t="s">
        <v>16</v>
      </c>
      <c r="B19" s="382" t="s">
        <v>37</v>
      </c>
      <c r="C19" s="575">
        <v>795780.8</v>
      </c>
      <c r="D19" s="575">
        <v>549731472.15365624</v>
      </c>
      <c r="E19" s="574">
        <f t="shared" si="0"/>
        <v>550527252.9536562</v>
      </c>
      <c r="F19" s="575">
        <v>708793.8</v>
      </c>
      <c r="G19" s="575">
        <v>732300907.11082542</v>
      </c>
      <c r="H19" s="573">
        <f t="shared" si="1"/>
        <v>733009700.91082537</v>
      </c>
      <c r="I19" s="617"/>
      <c r="J19" s="617"/>
      <c r="K19" s="617"/>
      <c r="L19" s="617"/>
      <c r="M19" s="617"/>
      <c r="N19" s="617"/>
      <c r="O19" s="617"/>
    </row>
    <row r="20" spans="1:15" ht="15.75">
      <c r="A20" s="352" t="s">
        <v>17</v>
      </c>
      <c r="B20" s="382" t="s">
        <v>38</v>
      </c>
      <c r="C20" s="575">
        <v>0</v>
      </c>
      <c r="D20" s="575">
        <v>193663507.35730153</v>
      </c>
      <c r="E20" s="574">
        <f t="shared" si="0"/>
        <v>193663507.35730153</v>
      </c>
      <c r="F20" s="575">
        <v>0</v>
      </c>
      <c r="G20" s="575">
        <v>154190427.06454363</v>
      </c>
      <c r="H20" s="573">
        <f t="shared" si="1"/>
        <v>154190427.06454363</v>
      </c>
      <c r="I20" s="617"/>
      <c r="J20" s="617"/>
      <c r="K20" s="617"/>
      <c r="L20" s="617"/>
      <c r="M20" s="617"/>
      <c r="N20" s="617"/>
      <c r="O20" s="617"/>
    </row>
    <row r="21" spans="1:15" ht="15.75">
      <c r="A21" s="352" t="s">
        <v>18</v>
      </c>
      <c r="B21" s="382" t="s">
        <v>39</v>
      </c>
      <c r="C21" s="575">
        <v>2041883.1999999997</v>
      </c>
      <c r="D21" s="575">
        <v>374873730.31604171</v>
      </c>
      <c r="E21" s="574">
        <f t="shared" si="0"/>
        <v>376915613.5160417</v>
      </c>
      <c r="F21" s="575">
        <v>16937390</v>
      </c>
      <c r="G21" s="575">
        <v>382948795.15907496</v>
      </c>
      <c r="H21" s="573">
        <f t="shared" si="1"/>
        <v>399886185.15907496</v>
      </c>
      <c r="I21" s="617"/>
      <c r="J21" s="617"/>
      <c r="K21" s="617"/>
      <c r="L21" s="617"/>
      <c r="M21" s="617"/>
      <c r="N21" s="617"/>
      <c r="O21" s="617"/>
    </row>
    <row r="22" spans="1:15" ht="15.75">
      <c r="A22" s="352" t="s">
        <v>19</v>
      </c>
      <c r="B22" s="382" t="s">
        <v>40</v>
      </c>
      <c r="C22" s="575">
        <v>0</v>
      </c>
      <c r="D22" s="575">
        <v>35155960.783525512</v>
      </c>
      <c r="E22" s="574">
        <f t="shared" si="0"/>
        <v>35155960.783525512</v>
      </c>
      <c r="F22" s="575">
        <v>0</v>
      </c>
      <c r="G22" s="575">
        <v>35751278.510650016</v>
      </c>
      <c r="H22" s="573">
        <f t="shared" si="1"/>
        <v>35751278.510650016</v>
      </c>
      <c r="I22" s="617"/>
      <c r="J22" s="617"/>
      <c r="K22" s="617"/>
      <c r="L22" s="617"/>
      <c r="M22" s="617"/>
      <c r="N22" s="617"/>
      <c r="O22" s="617"/>
    </row>
    <row r="23" spans="1:15" ht="15.75">
      <c r="A23" s="352">
        <v>5.4</v>
      </c>
      <c r="B23" s="381" t="s">
        <v>184</v>
      </c>
      <c r="C23" s="575">
        <v>96646275.18759644</v>
      </c>
      <c r="D23" s="575">
        <v>258564315.09347212</v>
      </c>
      <c r="E23" s="574">
        <f t="shared" si="0"/>
        <v>355210590.28106856</v>
      </c>
      <c r="F23" s="575">
        <v>206543294.78504831</v>
      </c>
      <c r="G23" s="575">
        <v>265339316.23435169</v>
      </c>
      <c r="H23" s="573">
        <f t="shared" si="1"/>
        <v>471882611.0194</v>
      </c>
      <c r="I23" s="617"/>
      <c r="J23" s="617"/>
      <c r="K23" s="617"/>
      <c r="L23" s="617"/>
      <c r="M23" s="617"/>
      <c r="N23" s="617"/>
      <c r="O23" s="617"/>
    </row>
    <row r="24" spans="1:15" ht="15.75">
      <c r="A24" s="352">
        <v>5.5</v>
      </c>
      <c r="B24" s="381" t="s">
        <v>185</v>
      </c>
      <c r="C24" s="575">
        <v>13726543.029999999</v>
      </c>
      <c r="D24" s="575">
        <v>134379634.73539999</v>
      </c>
      <c r="E24" s="574">
        <f t="shared" si="0"/>
        <v>148106177.76539999</v>
      </c>
      <c r="F24" s="575">
        <v>22753825.710000001</v>
      </c>
      <c r="G24" s="575">
        <v>170496886.81590003</v>
      </c>
      <c r="H24" s="573">
        <f t="shared" si="1"/>
        <v>193250712.52590004</v>
      </c>
      <c r="I24" s="617"/>
      <c r="J24" s="617"/>
      <c r="K24" s="617"/>
      <c r="L24" s="617"/>
      <c r="M24" s="617"/>
      <c r="N24" s="617"/>
      <c r="O24" s="617"/>
    </row>
    <row r="25" spans="1:15" ht="15.75">
      <c r="A25" s="352">
        <v>5.6</v>
      </c>
      <c r="B25" s="381" t="s">
        <v>186</v>
      </c>
      <c r="C25" s="575">
        <v>0</v>
      </c>
      <c r="D25" s="575">
        <v>4057435</v>
      </c>
      <c r="E25" s="574">
        <f t="shared" si="0"/>
        <v>4057435</v>
      </c>
      <c r="F25" s="575">
        <v>0</v>
      </c>
      <c r="G25" s="575">
        <v>4539795</v>
      </c>
      <c r="H25" s="573">
        <f t="shared" si="1"/>
        <v>4539795</v>
      </c>
      <c r="I25" s="617"/>
      <c r="J25" s="617"/>
      <c r="K25" s="617"/>
      <c r="L25" s="617"/>
      <c r="M25" s="617"/>
      <c r="N25" s="617"/>
      <c r="O25" s="617"/>
    </row>
    <row r="26" spans="1:15" ht="15.75">
      <c r="A26" s="352">
        <v>5.7</v>
      </c>
      <c r="B26" s="381" t="s">
        <v>40</v>
      </c>
      <c r="C26" s="575">
        <v>12392799.999999998</v>
      </c>
      <c r="D26" s="575">
        <v>25021154.564999998</v>
      </c>
      <c r="E26" s="574">
        <f t="shared" si="0"/>
        <v>37413954.564999998</v>
      </c>
      <c r="F26" s="575">
        <v>1092801</v>
      </c>
      <c r="G26" s="575">
        <v>28492339.199999988</v>
      </c>
      <c r="H26" s="573">
        <f t="shared" si="1"/>
        <v>29585140.199999988</v>
      </c>
      <c r="I26" s="617"/>
      <c r="J26" s="617"/>
      <c r="K26" s="617"/>
      <c r="L26" s="617"/>
      <c r="M26" s="617"/>
      <c r="N26" s="617"/>
      <c r="O26" s="617"/>
    </row>
    <row r="27" spans="1:15" ht="15.75">
      <c r="A27" s="352">
        <v>6</v>
      </c>
      <c r="B27" s="383" t="s">
        <v>658</v>
      </c>
      <c r="C27" s="575">
        <v>8286535.5700000003</v>
      </c>
      <c r="D27" s="575">
        <v>12864764.575417001</v>
      </c>
      <c r="E27" s="574">
        <f t="shared" si="0"/>
        <v>21151300.145417001</v>
      </c>
      <c r="F27" s="575">
        <v>12987213.969999999</v>
      </c>
      <c r="G27" s="575">
        <v>22770944.099673003</v>
      </c>
      <c r="H27" s="573">
        <f t="shared" si="1"/>
        <v>35758158.069673002</v>
      </c>
      <c r="I27" s="617"/>
      <c r="J27" s="617"/>
      <c r="K27" s="617"/>
      <c r="L27" s="617"/>
      <c r="M27" s="617"/>
      <c r="N27" s="617"/>
      <c r="O27" s="617"/>
    </row>
    <row r="28" spans="1:15" ht="15.75">
      <c r="A28" s="352">
        <v>7</v>
      </c>
      <c r="B28" s="383" t="s">
        <v>659</v>
      </c>
      <c r="C28" s="575">
        <v>51834082.930000007</v>
      </c>
      <c r="D28" s="575">
        <v>13124904.720000001</v>
      </c>
      <c r="E28" s="574">
        <f t="shared" si="0"/>
        <v>64958987.650000006</v>
      </c>
      <c r="F28" s="575">
        <v>16017748.609999999</v>
      </c>
      <c r="G28" s="575">
        <v>9606908.7749000005</v>
      </c>
      <c r="H28" s="573">
        <f t="shared" si="1"/>
        <v>25624657.3849</v>
      </c>
      <c r="I28" s="617"/>
      <c r="J28" s="617"/>
      <c r="K28" s="617"/>
      <c r="L28" s="617"/>
      <c r="M28" s="617"/>
      <c r="N28" s="617"/>
      <c r="O28" s="617"/>
    </row>
    <row r="29" spans="1:15" ht="15.75">
      <c r="A29" s="352">
        <v>8</v>
      </c>
      <c r="B29" s="383" t="s">
        <v>194</v>
      </c>
      <c r="C29" s="575">
        <v>0</v>
      </c>
      <c r="D29" s="575">
        <v>0</v>
      </c>
      <c r="E29" s="574">
        <f t="shared" si="0"/>
        <v>0</v>
      </c>
      <c r="F29" s="575">
        <v>0</v>
      </c>
      <c r="G29" s="575">
        <v>0</v>
      </c>
      <c r="H29" s="573">
        <f t="shared" si="1"/>
        <v>0</v>
      </c>
      <c r="J29" s="617"/>
      <c r="K29" s="617"/>
      <c r="L29" s="617"/>
      <c r="M29" s="617"/>
      <c r="N29" s="617"/>
      <c r="O29" s="617"/>
    </row>
    <row r="30" spans="1:15" ht="15.75">
      <c r="A30" s="352">
        <v>9</v>
      </c>
      <c r="B30" s="384" t="s">
        <v>211</v>
      </c>
      <c r="C30" s="575">
        <f>C31+C32+C33+C34+C35+C36+C37</f>
        <v>0</v>
      </c>
      <c r="D30" s="575">
        <f>D31+D32+D33+D34+D35+D36+D37</f>
        <v>0</v>
      </c>
      <c r="E30" s="574">
        <f t="shared" si="0"/>
        <v>0</v>
      </c>
      <c r="F30" s="575">
        <f>F31+F32+F33+F34+F35+F36+F37</f>
        <v>0</v>
      </c>
      <c r="G30" s="575">
        <f>G31+G32+G33+G34+G35+G36+G37</f>
        <v>0</v>
      </c>
      <c r="H30" s="573">
        <f t="shared" si="1"/>
        <v>0</v>
      </c>
      <c r="J30" s="617"/>
      <c r="K30" s="617"/>
      <c r="L30" s="617"/>
      <c r="M30" s="617"/>
      <c r="N30" s="617"/>
      <c r="O30" s="617"/>
    </row>
    <row r="31" spans="1:15" ht="15.75">
      <c r="A31" s="352">
        <v>9.1</v>
      </c>
      <c r="B31" s="385" t="s">
        <v>201</v>
      </c>
      <c r="C31" s="575">
        <v>0</v>
      </c>
      <c r="D31" s="575">
        <v>0</v>
      </c>
      <c r="E31" s="574">
        <f t="shared" si="0"/>
        <v>0</v>
      </c>
      <c r="F31" s="575">
        <v>0</v>
      </c>
      <c r="G31" s="575">
        <v>0</v>
      </c>
      <c r="H31" s="573">
        <f t="shared" si="1"/>
        <v>0</v>
      </c>
      <c r="J31" s="617"/>
      <c r="K31" s="617"/>
      <c r="L31" s="617"/>
      <c r="M31" s="617"/>
      <c r="N31" s="617"/>
      <c r="O31" s="617"/>
    </row>
    <row r="32" spans="1:15" ht="15.75">
      <c r="A32" s="352">
        <v>9.1999999999999993</v>
      </c>
      <c r="B32" s="385" t="s">
        <v>202</v>
      </c>
      <c r="C32" s="575">
        <v>0</v>
      </c>
      <c r="D32" s="575">
        <v>0</v>
      </c>
      <c r="E32" s="574">
        <f t="shared" si="0"/>
        <v>0</v>
      </c>
      <c r="F32" s="575">
        <v>0</v>
      </c>
      <c r="G32" s="575">
        <v>0</v>
      </c>
      <c r="H32" s="573">
        <f t="shared" si="1"/>
        <v>0</v>
      </c>
      <c r="J32" s="617"/>
      <c r="K32" s="617"/>
      <c r="L32" s="617"/>
      <c r="M32" s="617"/>
      <c r="N32" s="617"/>
      <c r="O32" s="617"/>
    </row>
    <row r="33" spans="1:15" ht="15.75">
      <c r="A33" s="352">
        <v>9.3000000000000007</v>
      </c>
      <c r="B33" s="385" t="s">
        <v>198</v>
      </c>
      <c r="C33" s="575">
        <v>0</v>
      </c>
      <c r="D33" s="575">
        <v>0</v>
      </c>
      <c r="E33" s="574">
        <f t="shared" si="0"/>
        <v>0</v>
      </c>
      <c r="F33" s="575">
        <v>0</v>
      </c>
      <c r="G33" s="575">
        <v>0</v>
      </c>
      <c r="H33" s="573">
        <f t="shared" si="1"/>
        <v>0</v>
      </c>
      <c r="J33" s="617"/>
      <c r="K33" s="617"/>
      <c r="L33" s="617"/>
      <c r="M33" s="617"/>
      <c r="N33" s="617"/>
      <c r="O33" s="617"/>
    </row>
    <row r="34" spans="1:15" ht="15.75">
      <c r="A34" s="352">
        <v>9.4</v>
      </c>
      <c r="B34" s="385" t="s">
        <v>199</v>
      </c>
      <c r="C34" s="575">
        <v>0</v>
      </c>
      <c r="D34" s="575">
        <v>0</v>
      </c>
      <c r="E34" s="574">
        <f t="shared" si="0"/>
        <v>0</v>
      </c>
      <c r="F34" s="575">
        <v>0</v>
      </c>
      <c r="G34" s="575">
        <v>0</v>
      </c>
      <c r="H34" s="573">
        <f t="shared" si="1"/>
        <v>0</v>
      </c>
      <c r="J34" s="617"/>
      <c r="K34" s="617"/>
      <c r="L34" s="617"/>
      <c r="M34" s="617"/>
      <c r="N34" s="617"/>
      <c r="O34" s="617"/>
    </row>
    <row r="35" spans="1:15" ht="15.75">
      <c r="A35" s="352">
        <v>9.5</v>
      </c>
      <c r="B35" s="385" t="s">
        <v>200</v>
      </c>
      <c r="C35" s="575">
        <v>0</v>
      </c>
      <c r="D35" s="575">
        <v>0</v>
      </c>
      <c r="E35" s="574">
        <f t="shared" si="0"/>
        <v>0</v>
      </c>
      <c r="F35" s="575">
        <v>0</v>
      </c>
      <c r="G35" s="575">
        <v>0</v>
      </c>
      <c r="H35" s="573">
        <f t="shared" si="1"/>
        <v>0</v>
      </c>
      <c r="J35" s="617"/>
      <c r="K35" s="617"/>
      <c r="L35" s="617"/>
      <c r="M35" s="617"/>
      <c r="N35" s="617"/>
      <c r="O35" s="617"/>
    </row>
    <row r="36" spans="1:15" ht="15.75">
      <c r="A36" s="352">
        <v>9.6</v>
      </c>
      <c r="B36" s="385" t="s">
        <v>203</v>
      </c>
      <c r="C36" s="575">
        <v>0</v>
      </c>
      <c r="D36" s="575">
        <v>0</v>
      </c>
      <c r="E36" s="574">
        <f t="shared" si="0"/>
        <v>0</v>
      </c>
      <c r="F36" s="575">
        <v>0</v>
      </c>
      <c r="G36" s="575">
        <v>0</v>
      </c>
      <c r="H36" s="573">
        <f t="shared" si="1"/>
        <v>0</v>
      </c>
      <c r="J36" s="617"/>
      <c r="K36" s="617"/>
      <c r="L36" s="617"/>
      <c r="M36" s="617"/>
      <c r="N36" s="617"/>
      <c r="O36" s="617"/>
    </row>
    <row r="37" spans="1:15" ht="15.75">
      <c r="A37" s="352">
        <v>9.6999999999999993</v>
      </c>
      <c r="B37" s="385" t="s">
        <v>204</v>
      </c>
      <c r="C37" s="575">
        <v>0</v>
      </c>
      <c r="D37" s="575">
        <v>0</v>
      </c>
      <c r="E37" s="574">
        <f t="shared" si="0"/>
        <v>0</v>
      </c>
      <c r="F37" s="575">
        <v>0</v>
      </c>
      <c r="G37" s="575">
        <v>0</v>
      </c>
      <c r="H37" s="573">
        <f t="shared" si="1"/>
        <v>0</v>
      </c>
      <c r="J37" s="617"/>
      <c r="K37" s="617"/>
      <c r="L37" s="617"/>
      <c r="M37" s="617"/>
      <c r="N37" s="617"/>
      <c r="O37" s="617"/>
    </row>
    <row r="38" spans="1:15" ht="15.75">
      <c r="A38" s="352">
        <v>10</v>
      </c>
      <c r="B38" s="380" t="s">
        <v>207</v>
      </c>
      <c r="C38" s="575">
        <f>C39+C40+C41+C42</f>
        <v>30310335.96943175</v>
      </c>
      <c r="D38" s="575">
        <f>D39+D40+D41+D42</f>
        <v>79848727.764996022</v>
      </c>
      <c r="E38" s="574">
        <f t="shared" si="0"/>
        <v>110159063.73442778</v>
      </c>
      <c r="F38" s="575">
        <f>F39+F40+F41+F42</f>
        <v>30418780.036039978</v>
      </c>
      <c r="G38" s="575">
        <f>G39+G40+G41+G42</f>
        <v>36407006.565466009</v>
      </c>
      <c r="H38" s="573">
        <f t="shared" si="1"/>
        <v>66825786.601505987</v>
      </c>
      <c r="J38" s="617"/>
      <c r="K38" s="617"/>
      <c r="L38" s="617"/>
      <c r="M38" s="617"/>
      <c r="N38" s="617"/>
      <c r="O38" s="617"/>
    </row>
    <row r="39" spans="1:15" ht="15.75">
      <c r="A39" s="352">
        <v>10.1</v>
      </c>
      <c r="B39" s="386" t="s">
        <v>208</v>
      </c>
      <c r="C39" s="575">
        <v>47946.05</v>
      </c>
      <c r="D39" s="575">
        <v>61752.197399999997</v>
      </c>
      <c r="E39" s="574">
        <f t="shared" si="0"/>
        <v>109698.24739999999</v>
      </c>
      <c r="F39" s="575">
        <v>9073903.4299999997</v>
      </c>
      <c r="G39" s="575">
        <v>62731.123299999999</v>
      </c>
      <c r="H39" s="573">
        <f t="shared" si="1"/>
        <v>9136634.5532999989</v>
      </c>
      <c r="J39" s="617"/>
      <c r="K39" s="617"/>
      <c r="L39" s="617"/>
      <c r="M39" s="617"/>
      <c r="N39" s="617"/>
      <c r="O39" s="617"/>
    </row>
    <row r="40" spans="1:15" ht="15.75">
      <c r="A40" s="352">
        <v>10.199999999999999</v>
      </c>
      <c r="B40" s="386" t="s">
        <v>209</v>
      </c>
      <c r="C40" s="575">
        <v>262787.37</v>
      </c>
      <c r="D40" s="575">
        <v>46007.578086000001</v>
      </c>
      <c r="E40" s="574">
        <f t="shared" si="0"/>
        <v>308794.94808599999</v>
      </c>
      <c r="F40" s="575">
        <v>1666399.5080200001</v>
      </c>
      <c r="G40" s="575">
        <v>1574355.6940330002</v>
      </c>
      <c r="H40" s="573">
        <f t="shared" si="1"/>
        <v>3240755.2020530002</v>
      </c>
      <c r="J40" s="617"/>
      <c r="K40" s="617"/>
      <c r="L40" s="617"/>
      <c r="M40" s="617"/>
      <c r="N40" s="617"/>
      <c r="O40" s="617"/>
    </row>
    <row r="41" spans="1:15" ht="15.75">
      <c r="A41" s="352">
        <v>10.3</v>
      </c>
      <c r="B41" s="386" t="s">
        <v>212</v>
      </c>
      <c r="C41" s="575">
        <v>11859785.360000001</v>
      </c>
      <c r="D41" s="575">
        <v>25168055.303499997</v>
      </c>
      <c r="E41" s="574">
        <f t="shared" si="0"/>
        <v>37027840.663499996</v>
      </c>
      <c r="F41" s="575">
        <v>14086417.569999978</v>
      </c>
      <c r="G41" s="575">
        <v>9543573.9593999963</v>
      </c>
      <c r="H41" s="573">
        <f t="shared" si="1"/>
        <v>23629991.529399976</v>
      </c>
      <c r="J41" s="617"/>
      <c r="K41" s="617"/>
      <c r="L41" s="617"/>
      <c r="M41" s="617"/>
      <c r="N41" s="617"/>
      <c r="O41" s="617"/>
    </row>
    <row r="42" spans="1:15" ht="25.5">
      <c r="A42" s="352">
        <v>10.4</v>
      </c>
      <c r="B42" s="386" t="s">
        <v>213</v>
      </c>
      <c r="C42" s="575">
        <v>18139817.189431749</v>
      </c>
      <c r="D42" s="575">
        <v>54572912.686010018</v>
      </c>
      <c r="E42" s="574">
        <f t="shared" si="0"/>
        <v>72712729.87544176</v>
      </c>
      <c r="F42" s="575">
        <v>5592059.5280200001</v>
      </c>
      <c r="G42" s="575">
        <v>25226345.788733013</v>
      </c>
      <c r="H42" s="573">
        <f t="shared" si="1"/>
        <v>30818405.316753015</v>
      </c>
      <c r="J42" s="617"/>
      <c r="K42" s="617"/>
      <c r="L42" s="617"/>
      <c r="M42" s="617"/>
      <c r="N42" s="617"/>
      <c r="O42" s="617"/>
    </row>
    <row r="43" spans="1:15" ht="16.5" thickBot="1">
      <c r="A43" s="352">
        <v>11</v>
      </c>
      <c r="B43" s="130" t="s">
        <v>210</v>
      </c>
      <c r="C43" s="572">
        <v>0</v>
      </c>
      <c r="D43" s="572">
        <v>0</v>
      </c>
      <c r="E43" s="571">
        <f t="shared" si="0"/>
        <v>0</v>
      </c>
      <c r="F43" s="572">
        <v>0</v>
      </c>
      <c r="G43" s="572">
        <v>0</v>
      </c>
      <c r="H43" s="570">
        <f t="shared" si="1"/>
        <v>0</v>
      </c>
      <c r="J43" s="617"/>
      <c r="K43" s="617"/>
      <c r="L43" s="617"/>
      <c r="M43" s="617"/>
      <c r="N43" s="617"/>
      <c r="O43" s="617"/>
    </row>
    <row r="44" spans="1:15" ht="15.75">
      <c r="C44" s="387"/>
      <c r="D44" s="387"/>
      <c r="E44" s="387"/>
      <c r="F44" s="387"/>
      <c r="G44" s="387"/>
      <c r="H44" s="387"/>
    </row>
    <row r="45" spans="1:15" ht="15.75">
      <c r="C45" s="387"/>
      <c r="D45" s="387"/>
      <c r="E45" s="387"/>
      <c r="F45" s="387"/>
      <c r="G45" s="387"/>
      <c r="H45" s="387"/>
    </row>
    <row r="46" spans="1:15" ht="15.75">
      <c r="C46" s="387"/>
      <c r="D46" s="387"/>
      <c r="E46" s="387"/>
      <c r="F46" s="387"/>
      <c r="G46" s="387"/>
      <c r="H46" s="387"/>
    </row>
    <row r="47" spans="1:15" ht="15.75">
      <c r="C47" s="387"/>
      <c r="D47" s="387"/>
      <c r="E47" s="387"/>
      <c r="F47" s="387"/>
      <c r="G47" s="387"/>
      <c r="H47" s="387"/>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93.5703125" style="4" customWidth="1"/>
    <col min="3" max="4" width="11.7109375" style="4" bestFit="1" customWidth="1"/>
    <col min="5" max="7" width="11.7109375" style="19" bestFit="1" customWidth="1"/>
    <col min="8" max="11" width="9.7109375" style="19" customWidth="1"/>
    <col min="12" max="16384" width="9.140625" style="19"/>
  </cols>
  <sheetData>
    <row r="1" spans="1:14">
      <c r="A1" s="2" t="s">
        <v>30</v>
      </c>
      <c r="B1" s="3" t="str">
        <f>'Info '!C2</f>
        <v>JSC Cartu Bank</v>
      </c>
      <c r="C1" s="3"/>
    </row>
    <row r="2" spans="1:14">
      <c r="A2" s="2" t="s">
        <v>31</v>
      </c>
      <c r="B2" s="663">
        <f>'1. key ratios '!B2</f>
        <v>45107</v>
      </c>
      <c r="C2" s="3"/>
    </row>
    <row r="3" spans="1:14">
      <c r="A3" s="2"/>
      <c r="B3" s="3"/>
      <c r="C3" s="3"/>
    </row>
    <row r="4" spans="1:14" ht="15" customHeight="1" thickBot="1">
      <c r="A4" s="4" t="s">
        <v>96</v>
      </c>
      <c r="B4" s="83" t="s">
        <v>187</v>
      </c>
      <c r="C4" s="22" t="s">
        <v>35</v>
      </c>
    </row>
    <row r="5" spans="1:14" ht="15" customHeight="1">
      <c r="A5" s="149" t="s">
        <v>6</v>
      </c>
      <c r="B5" s="150"/>
      <c r="C5" s="294" t="str">
        <f>INT((MONTH($B$2))/3)&amp;"Q"&amp;"-"&amp;YEAR($B$2)</f>
        <v>2Q-2023</v>
      </c>
      <c r="D5" s="294" t="str">
        <f>IF(INT(MONTH($B$2))=3, "4"&amp;"Q"&amp;"-"&amp;YEAR($B$2)-1, IF(INT(MONTH($B$2))=6, "1"&amp;"Q"&amp;"-"&amp;YEAR($B$2), IF(INT(MONTH($B$2))=9, "2"&amp;"Q"&amp;"-"&amp;YEAR($B$2),IF(INT(MONTH($B$2))=12, "3"&amp;"Q"&amp;"-"&amp;YEAR($B$2), 0))))</f>
        <v>1Q-2023</v>
      </c>
      <c r="E5" s="294" t="str">
        <f>IF(INT(MONTH($B$2))=3, "3"&amp;"Q"&amp;"-"&amp;YEAR($B$2)-1, IF(INT(MONTH($B$2))=6, "4"&amp;"Q"&amp;"-"&amp;YEAR($B$2)-1, IF(INT(MONTH($B$2))=9, "1"&amp;"Q"&amp;"-"&amp;YEAR($B$2),IF(INT(MONTH($B$2))=12, "2"&amp;"Q"&amp;"-"&amp;YEAR($B$2), 0))))</f>
        <v>4Q-2022</v>
      </c>
      <c r="F5" s="294" t="str">
        <f>IF(INT(MONTH($B$2))=3, "2"&amp;"Q"&amp;"-"&amp;YEAR($B$2)-1, IF(INT(MONTH($B$2))=6, "3"&amp;"Q"&amp;"-"&amp;YEAR($B$2)-1, IF(INT(MONTH($B$2))=9, "4"&amp;"Q"&amp;"-"&amp;YEAR($B$2)-1,IF(INT(MONTH($B$2))=12, "1"&amp;"Q"&amp;"-"&amp;YEAR($B$2), 0))))</f>
        <v>3Q-2022</v>
      </c>
      <c r="G5" s="295" t="str">
        <f>IF(INT(MONTH($B$2))=3, "1"&amp;"Q"&amp;"-"&amp;YEAR($B$2)-1, IF(INT(MONTH($B$2))=6, "2"&amp;"Q"&amp;"-"&amp;YEAR($B$2)-1, IF(INT(MONTH($B$2))=9, "3"&amp;"Q"&amp;"-"&amp;YEAR($B$2)-1,IF(INT(MONTH($B$2))=12, "4"&amp;"Q"&amp;"-"&amp;YEAR($B$2)-1, 0))))</f>
        <v>2Q-2022</v>
      </c>
    </row>
    <row r="6" spans="1:14" ht="15" customHeight="1">
      <c r="A6" s="23">
        <v>1</v>
      </c>
      <c r="B6" s="230" t="s">
        <v>191</v>
      </c>
      <c r="C6" s="569">
        <f>C7+C9+C10</f>
        <v>1289625090.9909933</v>
      </c>
      <c r="D6" s="568">
        <f>D7+D9+D10</f>
        <v>1211822580.3565857</v>
      </c>
      <c r="E6" s="568">
        <f t="shared" ref="E6:G6" si="0">E7+E9+E10</f>
        <v>1347034861.7048948</v>
      </c>
      <c r="F6" s="568">
        <f t="shared" si="0"/>
        <v>1341538379.3193991</v>
      </c>
      <c r="G6" s="567">
        <f t="shared" si="0"/>
        <v>1311952899.3379838</v>
      </c>
      <c r="I6" s="563"/>
      <c r="J6" s="563"/>
      <c r="K6" s="563"/>
      <c r="L6" s="563"/>
      <c r="M6" s="563"/>
      <c r="N6" s="563"/>
    </row>
    <row r="7" spans="1:14" ht="15" customHeight="1">
      <c r="A7" s="23">
        <v>1.1000000000000001</v>
      </c>
      <c r="B7" s="230" t="s">
        <v>357</v>
      </c>
      <c r="C7" s="566">
        <v>1250049503.1956866</v>
      </c>
      <c r="D7" s="565">
        <v>1164660429.7591593</v>
      </c>
      <c r="E7" s="566">
        <v>1308503120.5425007</v>
      </c>
      <c r="F7" s="566">
        <v>1310818079.8066757</v>
      </c>
      <c r="G7" s="564">
        <v>1283380988.5536683</v>
      </c>
      <c r="I7" s="563"/>
      <c r="J7" s="563"/>
      <c r="K7" s="563"/>
      <c r="L7" s="563"/>
      <c r="M7" s="563"/>
      <c r="N7" s="563"/>
    </row>
    <row r="8" spans="1:14">
      <c r="A8" s="23" t="s">
        <v>14</v>
      </c>
      <c r="B8" s="230" t="s">
        <v>95</v>
      </c>
      <c r="C8" s="566">
        <v>23430750</v>
      </c>
      <c r="D8" s="565">
        <v>23430750</v>
      </c>
      <c r="E8" s="566">
        <v>23430750</v>
      </c>
      <c r="F8" s="566">
        <v>23430750</v>
      </c>
      <c r="G8" s="564">
        <v>23430750</v>
      </c>
      <c r="I8" s="563"/>
      <c r="J8" s="563"/>
      <c r="K8" s="563"/>
      <c r="L8" s="563"/>
      <c r="M8" s="563"/>
      <c r="N8" s="563"/>
    </row>
    <row r="9" spans="1:14" ht="15" customHeight="1">
      <c r="A9" s="23">
        <v>1.2</v>
      </c>
      <c r="B9" s="231" t="s">
        <v>94</v>
      </c>
      <c r="C9" s="566">
        <v>39575587.795306772</v>
      </c>
      <c r="D9" s="565">
        <v>47162150.597426437</v>
      </c>
      <c r="E9" s="566">
        <v>38531741.162394121</v>
      </c>
      <c r="F9" s="566">
        <v>30720299.512723375</v>
      </c>
      <c r="G9" s="564">
        <v>28571910.784315594</v>
      </c>
      <c r="I9" s="563"/>
      <c r="J9" s="563"/>
      <c r="K9" s="563"/>
      <c r="L9" s="563"/>
      <c r="M9" s="563"/>
      <c r="N9" s="563"/>
    </row>
    <row r="10" spans="1:14" ht="15" customHeight="1">
      <c r="A10" s="23">
        <v>1.3</v>
      </c>
      <c r="B10" s="230" t="s">
        <v>28</v>
      </c>
      <c r="C10" s="566">
        <v>0</v>
      </c>
      <c r="D10" s="565">
        <v>0</v>
      </c>
      <c r="E10" s="566">
        <v>0</v>
      </c>
      <c r="F10" s="566">
        <v>0</v>
      </c>
      <c r="G10" s="564">
        <v>0</v>
      </c>
      <c r="I10" s="563"/>
      <c r="J10" s="563"/>
      <c r="K10" s="563"/>
      <c r="L10" s="563"/>
      <c r="M10" s="563"/>
      <c r="N10" s="563"/>
    </row>
    <row r="11" spans="1:14" ht="15" customHeight="1">
      <c r="A11" s="23">
        <v>2</v>
      </c>
      <c r="B11" s="230" t="s">
        <v>188</v>
      </c>
      <c r="C11" s="566">
        <v>28313091.104904324</v>
      </c>
      <c r="D11" s="565">
        <v>34114742.157791719</v>
      </c>
      <c r="E11" s="566">
        <v>36598529.393214002</v>
      </c>
      <c r="F11" s="566">
        <v>54550173.91298195</v>
      </c>
      <c r="G11" s="564">
        <v>55660913.731384978</v>
      </c>
      <c r="I11" s="563"/>
      <c r="J11" s="563"/>
      <c r="K11" s="563"/>
      <c r="L11" s="563"/>
      <c r="M11" s="563"/>
      <c r="N11" s="563"/>
    </row>
    <row r="12" spans="1:14" ht="15" customHeight="1">
      <c r="A12" s="23">
        <v>3</v>
      </c>
      <c r="B12" s="230" t="s">
        <v>189</v>
      </c>
      <c r="C12" s="566">
        <v>130705235.87062578</v>
      </c>
      <c r="D12" s="565">
        <v>130705235.87062578</v>
      </c>
      <c r="E12" s="566">
        <v>130705235.87062578</v>
      </c>
      <c r="F12" s="566">
        <v>138448224.87269154</v>
      </c>
      <c r="G12" s="564">
        <v>138448224.87269154</v>
      </c>
      <c r="I12" s="563"/>
      <c r="J12" s="563"/>
      <c r="K12" s="563"/>
      <c r="L12" s="563"/>
      <c r="M12" s="563"/>
      <c r="N12" s="563"/>
    </row>
    <row r="13" spans="1:14" ht="15" customHeight="1" thickBot="1">
      <c r="A13" s="25">
        <v>4</v>
      </c>
      <c r="B13" s="26" t="s">
        <v>190</v>
      </c>
      <c r="C13" s="668">
        <f>C6+C11+C12</f>
        <v>1448643417.9665234</v>
      </c>
      <c r="D13" s="669">
        <f>D6+D11+D12</f>
        <v>1376642558.3850031</v>
      </c>
      <c r="E13" s="669">
        <f t="shared" ref="E13:G13" si="1">E6+E11+E12</f>
        <v>1514338626.9687345</v>
      </c>
      <c r="F13" s="669">
        <f t="shared" si="1"/>
        <v>1534536778.1050727</v>
      </c>
      <c r="G13" s="670">
        <f t="shared" si="1"/>
        <v>1506062037.9420605</v>
      </c>
      <c r="I13" s="563"/>
      <c r="J13" s="563"/>
      <c r="K13" s="563"/>
      <c r="L13" s="563"/>
      <c r="M13" s="563"/>
      <c r="N13" s="563"/>
    </row>
    <row r="14" spans="1:14">
      <c r="B14" s="28"/>
    </row>
    <row r="15" spans="1:14" ht="25.5">
      <c r="B15" s="28" t="s">
        <v>358</v>
      </c>
    </row>
    <row r="16" spans="1:14">
      <c r="B16" s="28"/>
    </row>
    <row r="17" s="19" customFormat="1" ht="11.25"/>
    <row r="18" s="19" customFormat="1" ht="11.25"/>
    <row r="19" s="19" customFormat="1" ht="11.25"/>
    <row r="20" s="19" customFormat="1" ht="11.25"/>
    <row r="21" s="19" customFormat="1" ht="11.25"/>
    <row r="22" s="19" customFormat="1" ht="11.25"/>
    <row r="23" s="19" customFormat="1" ht="11.25"/>
    <row r="24" s="19" customFormat="1" ht="11.25"/>
    <row r="25" s="19" customFormat="1" ht="11.25"/>
    <row r="26" s="19" customFormat="1" ht="11.25"/>
    <row r="27" s="19" customFormat="1" ht="11.25"/>
    <row r="28" s="19" customFormat="1" ht="11.25"/>
    <row r="29" s="19"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4" bestFit="1" customWidth="1"/>
    <col min="2" max="2" width="65.5703125" style="4" customWidth="1"/>
    <col min="3" max="3" width="50.5703125" style="4" bestFit="1" customWidth="1"/>
    <col min="4" max="16384" width="9.140625" style="5"/>
  </cols>
  <sheetData>
    <row r="1" spans="1:8">
      <c r="A1" s="2" t="s">
        <v>30</v>
      </c>
      <c r="B1" s="3" t="str">
        <f>'Info '!C2</f>
        <v>JSC Cartu Bank</v>
      </c>
    </row>
    <row r="2" spans="1:8">
      <c r="A2" s="2" t="s">
        <v>31</v>
      </c>
      <c r="B2" s="663">
        <f>'1. key ratios '!B2</f>
        <v>45107</v>
      </c>
    </row>
    <row r="4" spans="1:8" ht="27.95" customHeight="1" thickBot="1">
      <c r="A4" s="29" t="s">
        <v>41</v>
      </c>
      <c r="B4" s="30" t="s">
        <v>163</v>
      </c>
      <c r="C4" s="31"/>
    </row>
    <row r="5" spans="1:8">
      <c r="A5" s="32"/>
      <c r="B5" s="289" t="s">
        <v>42</v>
      </c>
      <c r="C5" s="290" t="s">
        <v>371</v>
      </c>
    </row>
    <row r="6" spans="1:8">
      <c r="A6" s="33">
        <v>1</v>
      </c>
      <c r="B6" s="34" t="s">
        <v>714</v>
      </c>
      <c r="C6" s="35" t="s">
        <v>717</v>
      </c>
    </row>
    <row r="7" spans="1:8">
      <c r="A7" s="33">
        <v>2</v>
      </c>
      <c r="B7" s="34" t="s">
        <v>718</v>
      </c>
      <c r="C7" s="35" t="s">
        <v>719</v>
      </c>
    </row>
    <row r="8" spans="1:8">
      <c r="A8" s="33">
        <v>3</v>
      </c>
      <c r="B8" s="34" t="s">
        <v>720</v>
      </c>
      <c r="C8" s="35" t="s">
        <v>721</v>
      </c>
    </row>
    <row r="9" spans="1:8">
      <c r="A9" s="33">
        <v>4</v>
      </c>
      <c r="B9" s="34" t="s">
        <v>722</v>
      </c>
      <c r="C9" s="35" t="s">
        <v>719</v>
      </c>
    </row>
    <row r="10" spans="1:8">
      <c r="A10" s="33">
        <v>5</v>
      </c>
      <c r="B10" s="34"/>
      <c r="C10" s="35"/>
    </row>
    <row r="11" spans="1:8">
      <c r="A11" s="33">
        <v>6</v>
      </c>
      <c r="B11" s="34"/>
      <c r="C11" s="35"/>
    </row>
    <row r="12" spans="1:8">
      <c r="A12" s="33">
        <v>7</v>
      </c>
      <c r="B12" s="34"/>
      <c r="C12" s="35"/>
      <c r="H12" s="36"/>
    </row>
    <row r="13" spans="1:8">
      <c r="A13" s="33">
        <v>8</v>
      </c>
      <c r="B13" s="34"/>
      <c r="C13" s="35"/>
    </row>
    <row r="14" spans="1:8">
      <c r="A14" s="33">
        <v>9</v>
      </c>
      <c r="B14" s="34"/>
      <c r="C14" s="35"/>
    </row>
    <row r="15" spans="1:8">
      <c r="A15" s="33">
        <v>10</v>
      </c>
      <c r="B15" s="34"/>
      <c r="C15" s="35"/>
    </row>
    <row r="16" spans="1:8">
      <c r="A16" s="33"/>
      <c r="B16" s="291"/>
      <c r="C16" s="292"/>
    </row>
    <row r="17" spans="1:3">
      <c r="A17" s="33"/>
      <c r="B17" s="136" t="s">
        <v>43</v>
      </c>
      <c r="C17" s="293" t="s">
        <v>372</v>
      </c>
    </row>
    <row r="18" spans="1:3">
      <c r="A18" s="33">
        <v>1</v>
      </c>
      <c r="B18" s="34" t="s">
        <v>715</v>
      </c>
      <c r="C18" s="37" t="s">
        <v>723</v>
      </c>
    </row>
    <row r="19" spans="1:3">
      <c r="A19" s="33">
        <v>2</v>
      </c>
      <c r="B19" s="34" t="s">
        <v>724</v>
      </c>
      <c r="C19" s="37" t="s">
        <v>725</v>
      </c>
    </row>
    <row r="20" spans="1:3">
      <c r="A20" s="33">
        <v>3</v>
      </c>
      <c r="B20" s="34" t="s">
        <v>726</v>
      </c>
      <c r="C20" s="37" t="s">
        <v>727</v>
      </c>
    </row>
    <row r="21" spans="1:3">
      <c r="A21" s="33">
        <v>4</v>
      </c>
      <c r="B21" s="34" t="s">
        <v>728</v>
      </c>
      <c r="C21" s="37" t="s">
        <v>729</v>
      </c>
    </row>
    <row r="22" spans="1:3">
      <c r="A22" s="33">
        <v>5</v>
      </c>
      <c r="B22" s="34" t="s">
        <v>734</v>
      </c>
      <c r="C22" s="37" t="s">
        <v>735</v>
      </c>
    </row>
    <row r="23" spans="1:3">
      <c r="A23" s="33">
        <v>6</v>
      </c>
      <c r="B23" s="34" t="s">
        <v>731</v>
      </c>
      <c r="C23" s="37" t="s">
        <v>730</v>
      </c>
    </row>
    <row r="24" spans="1:3">
      <c r="A24" s="33">
        <v>7</v>
      </c>
      <c r="B24" s="34" t="s">
        <v>732</v>
      </c>
      <c r="C24" s="37" t="s">
        <v>733</v>
      </c>
    </row>
    <row r="25" spans="1:3">
      <c r="A25" s="33">
        <v>8</v>
      </c>
      <c r="B25" s="34"/>
      <c r="C25" s="37"/>
    </row>
    <row r="26" spans="1:3">
      <c r="A26" s="33">
        <v>9</v>
      </c>
      <c r="B26" s="34"/>
      <c r="C26" s="37"/>
    </row>
    <row r="27" spans="1:3" ht="15.75" customHeight="1">
      <c r="A27" s="33">
        <v>10</v>
      </c>
      <c r="B27" s="34"/>
      <c r="C27" s="38"/>
    </row>
    <row r="28" spans="1:3" ht="15.75" customHeight="1">
      <c r="A28" s="33"/>
      <c r="B28" s="34"/>
      <c r="C28" s="38"/>
    </row>
    <row r="29" spans="1:3" ht="30" customHeight="1">
      <c r="A29" s="33"/>
      <c r="B29" s="707" t="s">
        <v>44</v>
      </c>
      <c r="C29" s="708"/>
    </row>
    <row r="30" spans="1:3">
      <c r="A30" s="33">
        <v>1</v>
      </c>
      <c r="B30" s="34" t="s">
        <v>736</v>
      </c>
      <c r="C30" s="561">
        <v>1</v>
      </c>
    </row>
    <row r="31" spans="1:3" ht="15.75" customHeight="1">
      <c r="A31" s="33"/>
      <c r="B31" s="34"/>
      <c r="C31" s="35"/>
    </row>
    <row r="32" spans="1:3" ht="29.25" customHeight="1">
      <c r="A32" s="33"/>
      <c r="B32" s="707" t="s">
        <v>45</v>
      </c>
      <c r="C32" s="708"/>
    </row>
    <row r="33" spans="1:3">
      <c r="A33" s="33">
        <v>1</v>
      </c>
      <c r="B33" s="34" t="s">
        <v>737</v>
      </c>
      <c r="C33" s="562">
        <v>1</v>
      </c>
    </row>
    <row r="34" spans="1:3" ht="15" thickBot="1">
      <c r="A34" s="39"/>
      <c r="B34" s="40"/>
      <c r="C34" s="41"/>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53"/>
  <sheetViews>
    <sheetView zoomScaleNormal="100" workbookViewId="0">
      <pane xSplit="1" ySplit="5" topLeftCell="B6" activePane="bottomRight" state="frozen"/>
      <selection activeCell="B61" sqref="B61"/>
      <selection pane="topRight" activeCell="B61" sqref="B61"/>
      <selection pane="bottomLeft" activeCell="B61" sqref="B61"/>
      <selection pane="bottomRight"/>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11">
      <c r="A1" s="27" t="s">
        <v>30</v>
      </c>
      <c r="B1" s="3" t="str">
        <f>'Info '!C2</f>
        <v>JSC Cartu Bank</v>
      </c>
    </row>
    <row r="2" spans="1:11" s="2" customFormat="1" ht="15.75" customHeight="1">
      <c r="A2" s="27" t="s">
        <v>31</v>
      </c>
      <c r="B2" s="663">
        <f>'1. key ratios '!B2</f>
        <v>45107</v>
      </c>
    </row>
    <row r="3" spans="1:11" s="2" customFormat="1" ht="15.75" customHeight="1">
      <c r="A3" s="27"/>
    </row>
    <row r="4" spans="1:11" s="2" customFormat="1" ht="15.75" customHeight="1" thickBot="1">
      <c r="A4" s="182" t="s">
        <v>99</v>
      </c>
      <c r="B4" s="713" t="s">
        <v>225</v>
      </c>
      <c r="C4" s="714"/>
      <c r="D4" s="714"/>
      <c r="E4" s="714"/>
    </row>
    <row r="5" spans="1:11" s="45" customFormat="1" ht="17.45" customHeight="1">
      <c r="A5" s="139"/>
      <c r="B5" s="140"/>
      <c r="C5" s="43" t="s">
        <v>0</v>
      </c>
      <c r="D5" s="43" t="s">
        <v>1</v>
      </c>
      <c r="E5" s="44" t="s">
        <v>2</v>
      </c>
    </row>
    <row r="6" spans="1:11" ht="14.45" customHeight="1">
      <c r="A6" s="94"/>
      <c r="B6" s="709" t="s">
        <v>232</v>
      </c>
      <c r="C6" s="709" t="s">
        <v>660</v>
      </c>
      <c r="D6" s="711" t="s">
        <v>98</v>
      </c>
      <c r="E6" s="712"/>
    </row>
    <row r="7" spans="1:11" ht="99.6" customHeight="1">
      <c r="A7" s="94"/>
      <c r="B7" s="710"/>
      <c r="C7" s="709"/>
      <c r="D7" s="216" t="s">
        <v>97</v>
      </c>
      <c r="E7" s="217" t="s">
        <v>233</v>
      </c>
    </row>
    <row r="8" spans="1:11" ht="21">
      <c r="A8" s="337">
        <v>1</v>
      </c>
      <c r="B8" s="338" t="s">
        <v>561</v>
      </c>
      <c r="C8" s="560">
        <f>SUM(C9:C11)</f>
        <v>660779736.64304566</v>
      </c>
      <c r="D8" s="560">
        <f>SUM(D9:D11)</f>
        <v>0</v>
      </c>
      <c r="E8" s="560">
        <f>SUM(E9:E11)</f>
        <v>660779736.64304566</v>
      </c>
      <c r="G8" s="558"/>
      <c r="H8" s="558"/>
      <c r="I8" s="558"/>
      <c r="J8" s="558"/>
      <c r="K8" s="558"/>
    </row>
    <row r="9" spans="1:11" ht="15">
      <c r="A9" s="337">
        <v>1.1000000000000001</v>
      </c>
      <c r="B9" s="339" t="s">
        <v>562</v>
      </c>
      <c r="C9" s="560">
        <v>31787406.777100004</v>
      </c>
      <c r="D9" s="560"/>
      <c r="E9" s="560">
        <v>31787406.777100004</v>
      </c>
      <c r="G9" s="558"/>
      <c r="H9" s="558"/>
      <c r="I9" s="558"/>
    </row>
    <row r="10" spans="1:11" ht="15">
      <c r="A10" s="337">
        <v>1.2</v>
      </c>
      <c r="B10" s="339" t="s">
        <v>563</v>
      </c>
      <c r="C10" s="560">
        <v>245964649.28573731</v>
      </c>
      <c r="D10" s="560"/>
      <c r="E10" s="560">
        <v>245964649.28573731</v>
      </c>
      <c r="G10" s="558"/>
      <c r="H10" s="558"/>
      <c r="I10" s="558"/>
    </row>
    <row r="11" spans="1:11" ht="15">
      <c r="A11" s="337">
        <v>1.3</v>
      </c>
      <c r="B11" s="339" t="s">
        <v>564</v>
      </c>
      <c r="C11" s="560">
        <v>383027680.58020836</v>
      </c>
      <c r="D11" s="560"/>
      <c r="E11" s="560">
        <v>383027680.58020836</v>
      </c>
      <c r="G11" s="558"/>
      <c r="H11" s="558"/>
      <c r="I11" s="558"/>
    </row>
    <row r="12" spans="1:11" ht="15">
      <c r="A12" s="337">
        <v>2</v>
      </c>
      <c r="B12" s="340" t="s">
        <v>565</v>
      </c>
      <c r="C12" s="560">
        <v>0</v>
      </c>
      <c r="D12" s="560"/>
      <c r="E12" s="560">
        <v>0</v>
      </c>
      <c r="G12" s="558"/>
      <c r="H12" s="558"/>
      <c r="I12" s="558"/>
    </row>
    <row r="13" spans="1:11" ht="15">
      <c r="A13" s="337">
        <v>2.1</v>
      </c>
      <c r="B13" s="341" t="s">
        <v>566</v>
      </c>
      <c r="C13" s="559">
        <v>0</v>
      </c>
      <c r="D13" s="559"/>
      <c r="E13" s="559">
        <v>0</v>
      </c>
      <c r="G13" s="558"/>
      <c r="H13" s="558"/>
      <c r="I13" s="558"/>
    </row>
    <row r="14" spans="1:11" ht="21">
      <c r="A14" s="337">
        <v>3</v>
      </c>
      <c r="B14" s="342" t="s">
        <v>567</v>
      </c>
      <c r="C14" s="559">
        <v>0</v>
      </c>
      <c r="D14" s="559"/>
      <c r="E14" s="559">
        <v>0</v>
      </c>
      <c r="G14" s="558"/>
      <c r="H14" s="558"/>
      <c r="I14" s="558"/>
    </row>
    <row r="15" spans="1:11" ht="21">
      <c r="A15" s="337">
        <v>4</v>
      </c>
      <c r="B15" s="343" t="s">
        <v>568</v>
      </c>
      <c r="C15" s="559">
        <v>0</v>
      </c>
      <c r="D15" s="559"/>
      <c r="E15" s="559">
        <v>0</v>
      </c>
      <c r="G15" s="558"/>
      <c r="H15" s="558"/>
      <c r="I15" s="558"/>
    </row>
    <row r="16" spans="1:11" ht="21">
      <c r="A16" s="337">
        <v>5</v>
      </c>
      <c r="B16" s="344" t="s">
        <v>569</v>
      </c>
      <c r="C16" s="559">
        <f>SUM(C17:C19)</f>
        <v>7234737.6699999999</v>
      </c>
      <c r="D16" s="559">
        <f>SUM(D17:D19)</f>
        <v>12880</v>
      </c>
      <c r="E16" s="559">
        <f>SUM(E17:E19)</f>
        <v>7221857.6699999999</v>
      </c>
      <c r="G16" s="558"/>
      <c r="H16" s="558"/>
      <c r="I16" s="558"/>
    </row>
    <row r="17" spans="1:9" ht="15">
      <c r="A17" s="337">
        <v>5.0999999999999996</v>
      </c>
      <c r="B17" s="345" t="s">
        <v>570</v>
      </c>
      <c r="C17" s="559">
        <v>168050</v>
      </c>
      <c r="D17" s="559"/>
      <c r="E17" s="559">
        <v>168050</v>
      </c>
      <c r="G17" s="558"/>
      <c r="H17" s="558"/>
      <c r="I17" s="558"/>
    </row>
    <row r="18" spans="1:9" ht="15">
      <c r="A18" s="337">
        <v>5.2</v>
      </c>
      <c r="B18" s="345" t="s">
        <v>571</v>
      </c>
      <c r="C18" s="559">
        <v>7066687.6699999999</v>
      </c>
      <c r="D18" s="559">
        <v>12880</v>
      </c>
      <c r="E18" s="559">
        <v>7053807.6699999999</v>
      </c>
      <c r="G18" s="558"/>
      <c r="H18" s="558"/>
      <c r="I18" s="558"/>
    </row>
    <row r="19" spans="1:9" ht="15">
      <c r="A19" s="337">
        <v>5.3</v>
      </c>
      <c r="B19" s="346" t="s">
        <v>572</v>
      </c>
      <c r="C19" s="559">
        <v>0</v>
      </c>
      <c r="D19" s="559"/>
      <c r="E19" s="559">
        <v>0</v>
      </c>
      <c r="G19" s="558"/>
      <c r="H19" s="558"/>
      <c r="I19" s="558"/>
    </row>
    <row r="20" spans="1:9" ht="15">
      <c r="A20" s="337">
        <v>6</v>
      </c>
      <c r="B20" s="342" t="s">
        <v>573</v>
      </c>
      <c r="C20" s="559">
        <f>SUM(C21:C22)</f>
        <v>804604895.39199758</v>
      </c>
      <c r="D20" s="559">
        <f>SUM(D21:D22)</f>
        <v>0</v>
      </c>
      <c r="E20" s="559">
        <f>SUM(E21:E22)</f>
        <v>804604895.39199758</v>
      </c>
      <c r="G20" s="558"/>
      <c r="H20" s="558"/>
      <c r="I20" s="558"/>
    </row>
    <row r="21" spans="1:9" ht="15">
      <c r="A21" s="337">
        <v>6.1</v>
      </c>
      <c r="B21" s="345" t="s">
        <v>571</v>
      </c>
      <c r="C21" s="559">
        <v>50723652.916073769</v>
      </c>
      <c r="D21" s="559"/>
      <c r="E21" s="559">
        <v>50723652.916073769</v>
      </c>
      <c r="G21" s="558"/>
      <c r="H21" s="558"/>
      <c r="I21" s="558"/>
    </row>
    <row r="22" spans="1:9" ht="15">
      <c r="A22" s="337">
        <v>6.2</v>
      </c>
      <c r="B22" s="346" t="s">
        <v>572</v>
      </c>
      <c r="C22" s="559">
        <v>753881242.47592378</v>
      </c>
      <c r="D22" s="559"/>
      <c r="E22" s="559">
        <v>753881242.47592378</v>
      </c>
      <c r="G22" s="558"/>
      <c r="H22" s="558"/>
      <c r="I22" s="558"/>
    </row>
    <row r="23" spans="1:9" ht="21">
      <c r="A23" s="337">
        <v>7</v>
      </c>
      <c r="B23" s="340" t="s">
        <v>574</v>
      </c>
      <c r="C23" s="559">
        <v>9372300</v>
      </c>
      <c r="D23" s="559"/>
      <c r="E23" s="559">
        <v>9372300</v>
      </c>
      <c r="G23" s="558"/>
      <c r="H23" s="558"/>
      <c r="I23" s="558"/>
    </row>
    <row r="24" spans="1:9" ht="21">
      <c r="A24" s="337">
        <v>8</v>
      </c>
      <c r="B24" s="347" t="s">
        <v>575</v>
      </c>
      <c r="C24" s="559">
        <v>108050736.29584004</v>
      </c>
      <c r="D24" s="559"/>
      <c r="E24" s="559">
        <v>108050736.29584004</v>
      </c>
      <c r="G24" s="558"/>
      <c r="H24" s="558"/>
      <c r="I24" s="558"/>
    </row>
    <row r="25" spans="1:9" ht="15">
      <c r="A25" s="337">
        <v>9</v>
      </c>
      <c r="B25" s="343" t="s">
        <v>576</v>
      </c>
      <c r="C25" s="559">
        <f>SUM(C26:C27)</f>
        <v>14881728.141529512</v>
      </c>
      <c r="D25" s="559">
        <f>SUM(D26:D27)</f>
        <v>0</v>
      </c>
      <c r="E25" s="559">
        <f>SUM(E26:E27)</f>
        <v>14881728.141529512</v>
      </c>
      <c r="G25" s="558"/>
      <c r="H25" s="558"/>
      <c r="I25" s="558"/>
    </row>
    <row r="26" spans="1:9" ht="15">
      <c r="A26" s="337">
        <v>9.1</v>
      </c>
      <c r="B26" s="345" t="s">
        <v>577</v>
      </c>
      <c r="C26" s="559">
        <v>14881728.141529512</v>
      </c>
      <c r="D26" s="559"/>
      <c r="E26" s="559">
        <v>14881728.141529512</v>
      </c>
      <c r="G26" s="558"/>
      <c r="H26" s="558"/>
      <c r="I26" s="558"/>
    </row>
    <row r="27" spans="1:9" ht="15">
      <c r="A27" s="337">
        <v>9.1999999999999993</v>
      </c>
      <c r="B27" s="345" t="s">
        <v>578</v>
      </c>
      <c r="C27" s="559">
        <v>0</v>
      </c>
      <c r="D27" s="559"/>
      <c r="E27" s="559">
        <v>0</v>
      </c>
      <c r="G27" s="558"/>
      <c r="H27" s="558"/>
      <c r="I27" s="558"/>
    </row>
    <row r="28" spans="1:9" ht="15">
      <c r="A28" s="337">
        <v>10</v>
      </c>
      <c r="B28" s="343" t="s">
        <v>579</v>
      </c>
      <c r="C28" s="559">
        <f>SUM(C29:C30)</f>
        <v>5499614.5799999991</v>
      </c>
      <c r="D28" s="559">
        <f>SUM(D29:D30)</f>
        <v>5499614.5799999991</v>
      </c>
      <c r="E28" s="559">
        <f>SUM(E29:E30)</f>
        <v>0</v>
      </c>
      <c r="G28" s="558"/>
      <c r="H28" s="558"/>
      <c r="I28" s="558"/>
    </row>
    <row r="29" spans="1:9" ht="15">
      <c r="A29" s="337">
        <v>10.1</v>
      </c>
      <c r="B29" s="345" t="s">
        <v>580</v>
      </c>
      <c r="C29" s="559">
        <v>0</v>
      </c>
      <c r="D29" s="559"/>
      <c r="E29" s="559">
        <v>0</v>
      </c>
      <c r="G29" s="558"/>
      <c r="H29" s="558"/>
      <c r="I29" s="558"/>
    </row>
    <row r="30" spans="1:9" ht="15">
      <c r="A30" s="337">
        <v>10.199999999999999</v>
      </c>
      <c r="B30" s="345" t="s">
        <v>581</v>
      </c>
      <c r="C30" s="559">
        <v>5499614.5799999991</v>
      </c>
      <c r="D30" s="559">
        <v>5499614.5799999991</v>
      </c>
      <c r="E30" s="559">
        <v>0</v>
      </c>
      <c r="G30" s="558"/>
      <c r="H30" s="558"/>
      <c r="I30" s="558"/>
    </row>
    <row r="31" spans="1:9" ht="15">
      <c r="A31" s="337">
        <v>11</v>
      </c>
      <c r="B31" s="343" t="s">
        <v>582</v>
      </c>
      <c r="C31" s="559">
        <f>SUM(C32:C33)</f>
        <v>0</v>
      </c>
      <c r="D31" s="559">
        <f>SUM(D32:D33)</f>
        <v>0</v>
      </c>
      <c r="E31" s="559">
        <f>SUM(E32:E33)</f>
        <v>0</v>
      </c>
      <c r="G31" s="558"/>
      <c r="H31" s="558"/>
      <c r="I31" s="558"/>
    </row>
    <row r="32" spans="1:9" ht="15">
      <c r="A32" s="337">
        <v>11.1</v>
      </c>
      <c r="B32" s="345" t="s">
        <v>583</v>
      </c>
      <c r="C32" s="559">
        <v>0</v>
      </c>
      <c r="D32" s="559"/>
      <c r="E32" s="559">
        <v>0</v>
      </c>
      <c r="G32" s="558"/>
      <c r="H32" s="558"/>
      <c r="I32" s="558"/>
    </row>
    <row r="33" spans="1:9" ht="15">
      <c r="A33" s="337">
        <v>11.2</v>
      </c>
      <c r="B33" s="345" t="s">
        <v>584</v>
      </c>
      <c r="C33" s="559">
        <v>0</v>
      </c>
      <c r="D33" s="559"/>
      <c r="E33" s="559">
        <v>0</v>
      </c>
      <c r="G33" s="558"/>
      <c r="H33" s="558"/>
      <c r="I33" s="558"/>
    </row>
    <row r="34" spans="1:9" ht="15">
      <c r="A34" s="337">
        <v>13</v>
      </c>
      <c r="B34" s="343" t="s">
        <v>585</v>
      </c>
      <c r="C34" s="559">
        <v>4495186.3362999996</v>
      </c>
      <c r="D34" s="559">
        <v>0</v>
      </c>
      <c r="E34" s="559">
        <v>4495186.3362999996</v>
      </c>
      <c r="G34" s="558"/>
      <c r="H34" s="558"/>
      <c r="I34" s="558"/>
    </row>
    <row r="35" spans="1:9" ht="15">
      <c r="A35" s="337">
        <v>13.1</v>
      </c>
      <c r="B35" s="348" t="s">
        <v>586</v>
      </c>
      <c r="C35" s="559">
        <v>0</v>
      </c>
      <c r="D35" s="559"/>
      <c r="E35" s="559">
        <v>0</v>
      </c>
      <c r="G35" s="558"/>
      <c r="H35" s="558"/>
      <c r="I35" s="558"/>
    </row>
    <row r="36" spans="1:9" ht="15">
      <c r="A36" s="337">
        <v>13.2</v>
      </c>
      <c r="B36" s="348" t="s">
        <v>587</v>
      </c>
      <c r="C36" s="559">
        <v>0</v>
      </c>
      <c r="D36" s="559"/>
      <c r="E36" s="559">
        <v>0</v>
      </c>
      <c r="G36" s="558"/>
      <c r="H36" s="558"/>
      <c r="I36" s="558"/>
    </row>
    <row r="37" spans="1:9" ht="26.25" thickBot="1">
      <c r="A37" s="97"/>
      <c r="B37" s="183" t="s">
        <v>234</v>
      </c>
      <c r="C37" s="618">
        <f>SUM(C8,C12,C14,C15,C16,C20,C23,C24,C25,C28,C31,C34)</f>
        <v>1614918935.0587127</v>
      </c>
      <c r="D37" s="618">
        <f>SUM(D8,D12,D14,D15,D16,D20,D23,D24,D25,D28,D31,D34)</f>
        <v>5512494.5799999991</v>
      </c>
      <c r="E37" s="618">
        <f>SUM(E8,E12,E14,E15,E16,E20,E23,E24,E25,E28,E31,E34)</f>
        <v>1609406440.4787128</v>
      </c>
      <c r="G37" s="558"/>
      <c r="H37" s="558"/>
      <c r="I37" s="558"/>
    </row>
    <row r="38" spans="1:9">
      <c r="A38" s="5"/>
      <c r="B38" s="5"/>
      <c r="C38" s="5"/>
      <c r="D38" s="5"/>
      <c r="E38" s="5"/>
    </row>
    <row r="39" spans="1:9">
      <c r="A39" s="5"/>
      <c r="B39" s="5"/>
      <c r="C39" s="5"/>
      <c r="D39" s="5"/>
      <c r="E39" s="5"/>
    </row>
    <row r="41" spans="1:9" s="4" customFormat="1">
      <c r="B41" s="47"/>
      <c r="F41" s="5"/>
      <c r="G41" s="5"/>
    </row>
    <row r="42" spans="1:9" s="4" customFormat="1">
      <c r="B42" s="47"/>
      <c r="F42" s="5"/>
      <c r="G42" s="5"/>
    </row>
    <row r="43" spans="1:9" s="4" customFormat="1">
      <c r="B43" s="47"/>
      <c r="F43" s="5"/>
      <c r="G43" s="5"/>
    </row>
    <row r="44" spans="1:9" s="4" customFormat="1">
      <c r="B44" s="47"/>
      <c r="F44" s="5"/>
      <c r="G44" s="5"/>
    </row>
    <row r="45" spans="1:9" s="4" customFormat="1">
      <c r="B45" s="47"/>
      <c r="F45" s="5"/>
      <c r="G45" s="5"/>
    </row>
    <row r="46" spans="1:9" s="4" customFormat="1">
      <c r="B46" s="47"/>
      <c r="F46" s="5"/>
      <c r="G46" s="5"/>
    </row>
    <row r="47" spans="1:9" s="4" customFormat="1">
      <c r="B47" s="47"/>
      <c r="F47" s="5"/>
      <c r="G47" s="5"/>
    </row>
    <row r="48" spans="1:9" s="4" customFormat="1">
      <c r="B48" s="47"/>
      <c r="F48" s="5"/>
      <c r="G48" s="5"/>
    </row>
    <row r="49" spans="2:7" s="4" customFormat="1">
      <c r="B49" s="47"/>
      <c r="F49" s="5"/>
      <c r="G49" s="5"/>
    </row>
    <row r="50" spans="2:7" s="4" customFormat="1">
      <c r="B50" s="47"/>
      <c r="F50" s="5"/>
      <c r="G50" s="5"/>
    </row>
    <row r="51" spans="2:7" s="4" customFormat="1">
      <c r="B51" s="47"/>
      <c r="F51" s="5"/>
      <c r="G51" s="5"/>
    </row>
    <row r="52" spans="2:7" s="4" customFormat="1">
      <c r="B52" s="47"/>
      <c r="F52" s="5"/>
      <c r="G52" s="5"/>
    </row>
    <row r="53" spans="2:7" s="4" customFormat="1">
      <c r="B53" s="47"/>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Cartu Bank</v>
      </c>
    </row>
    <row r="2" spans="1:6" s="2" customFormat="1" ht="15.75" customHeight="1">
      <c r="A2" s="2" t="s">
        <v>31</v>
      </c>
      <c r="B2" s="663">
        <f>'1. key ratios '!B2</f>
        <v>45107</v>
      </c>
      <c r="C2" s="4"/>
      <c r="D2" s="4"/>
      <c r="E2" s="4"/>
      <c r="F2" s="4"/>
    </row>
    <row r="3" spans="1:6" s="2" customFormat="1" ht="15.75" customHeight="1">
      <c r="C3" s="4"/>
      <c r="D3" s="4"/>
      <c r="E3" s="4"/>
      <c r="F3" s="4"/>
    </row>
    <row r="4" spans="1:6" s="2" customFormat="1" ht="13.5" thickBot="1">
      <c r="A4" s="2" t="s">
        <v>46</v>
      </c>
      <c r="B4" s="184" t="s">
        <v>554</v>
      </c>
      <c r="C4" s="42" t="s">
        <v>35</v>
      </c>
      <c r="D4" s="4"/>
      <c r="E4" s="4"/>
      <c r="F4" s="4"/>
    </row>
    <row r="5" spans="1:6">
      <c r="A5" s="144">
        <v>1</v>
      </c>
      <c r="B5" s="185" t="s">
        <v>556</v>
      </c>
      <c r="C5" s="620">
        <f>'7. LI1 '!E37</f>
        <v>1609406440.4787128</v>
      </c>
      <c r="D5" s="129"/>
    </row>
    <row r="6" spans="1:6">
      <c r="A6" s="48">
        <v>2.1</v>
      </c>
      <c r="B6" s="95" t="s">
        <v>214</v>
      </c>
      <c r="C6" s="540">
        <v>85840284.326937214</v>
      </c>
      <c r="D6" s="129"/>
    </row>
    <row r="7" spans="1:6" s="28" customFormat="1" outlineLevel="1">
      <c r="A7" s="23">
        <v>2.2000000000000002</v>
      </c>
      <c r="B7" s="24" t="s">
        <v>215</v>
      </c>
      <c r="C7" s="496">
        <v>0</v>
      </c>
      <c r="D7" s="129"/>
    </row>
    <row r="8" spans="1:6" s="28" customFormat="1">
      <c r="A8" s="23">
        <v>3</v>
      </c>
      <c r="B8" s="142" t="s">
        <v>555</v>
      </c>
      <c r="C8" s="495">
        <f>SUM(C5:C7)</f>
        <v>1695246724.80565</v>
      </c>
      <c r="D8" s="129"/>
    </row>
    <row r="9" spans="1:6">
      <c r="A9" s="48">
        <v>4</v>
      </c>
      <c r="B9" s="49" t="s">
        <v>48</v>
      </c>
      <c r="C9" s="540"/>
      <c r="D9" s="129"/>
    </row>
    <row r="10" spans="1:6" s="28" customFormat="1" outlineLevel="1">
      <c r="A10" s="23">
        <v>5.0999999999999996</v>
      </c>
      <c r="B10" s="24" t="s">
        <v>216</v>
      </c>
      <c r="C10" s="496">
        <v>-40173133.803671002</v>
      </c>
      <c r="D10" s="129"/>
    </row>
    <row r="11" spans="1:6" s="28" customFormat="1" outlineLevel="1">
      <c r="A11" s="23">
        <v>5.2</v>
      </c>
      <c r="B11" s="24" t="s">
        <v>217</v>
      </c>
      <c r="C11" s="496">
        <v>0</v>
      </c>
      <c r="D11" s="129"/>
    </row>
    <row r="12" spans="1:6" s="28" customFormat="1">
      <c r="A12" s="23">
        <v>6</v>
      </c>
      <c r="B12" s="141" t="s">
        <v>359</v>
      </c>
      <c r="C12" s="496"/>
      <c r="D12" s="129"/>
    </row>
    <row r="13" spans="1:6" s="28" customFormat="1" ht="13.5" thickBot="1">
      <c r="A13" s="25">
        <v>7</v>
      </c>
      <c r="B13" s="143" t="s">
        <v>177</v>
      </c>
      <c r="C13" s="621">
        <f>SUM(C8:C12)</f>
        <v>1655073591.0019789</v>
      </c>
      <c r="D13" s="129"/>
    </row>
    <row r="15" spans="1:6" ht="25.5">
      <c r="B15" s="28" t="s">
        <v>360</v>
      </c>
    </row>
    <row r="17" spans="1:2" ht="15">
      <c r="A17" s="151"/>
      <c r="B17" s="152"/>
    </row>
    <row r="18" spans="1:2" ht="15">
      <c r="A18" s="156"/>
      <c r="B18" s="157"/>
    </row>
    <row r="19" spans="1:2">
      <c r="A19" s="158"/>
      <c r="B19" s="153"/>
    </row>
    <row r="20" spans="1:2">
      <c r="A20" s="159"/>
      <c r="B20" s="154"/>
    </row>
    <row r="21" spans="1:2">
      <c r="A21" s="159"/>
      <c r="B21" s="157"/>
    </row>
    <row r="22" spans="1:2">
      <c r="A22" s="158"/>
      <c r="B22" s="155"/>
    </row>
    <row r="23" spans="1:2">
      <c r="A23" s="159"/>
      <c r="B23" s="154"/>
    </row>
    <row r="24" spans="1:2">
      <c r="A24" s="159"/>
      <c r="B24" s="154"/>
    </row>
    <row r="25" spans="1:2">
      <c r="A25" s="159"/>
      <c r="B25" s="160"/>
    </row>
    <row r="26" spans="1:2">
      <c r="A26" s="159"/>
      <c r="B26" s="157"/>
    </row>
    <row r="27" spans="1:2">
      <c r="B27" s="47"/>
    </row>
    <row r="28" spans="1:2">
      <c r="B28" s="47"/>
    </row>
    <row r="29" spans="1:2">
      <c r="B29" s="47"/>
    </row>
    <row r="30" spans="1:2">
      <c r="B30" s="47"/>
    </row>
    <row r="31" spans="1:2">
      <c r="B31" s="47"/>
    </row>
    <row r="32" spans="1:2">
      <c r="B32" s="47"/>
    </row>
    <row r="33" spans="2:2">
      <c r="B33" s="47"/>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2023-12-28T08:26:27Z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